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ZizzariS\Downloads\"/>
    </mc:Choice>
  </mc:AlternateContent>
  <bookViews>
    <workbookView xWindow="0" yWindow="0" windowWidth="16530" windowHeight="3900"/>
  </bookViews>
  <sheets>
    <sheet name="export" sheetId="1" r:id="rId1"/>
  </sheets>
  <calcPr calcId="0"/>
</workbook>
</file>

<file path=xl/calcChain.xml><?xml version="1.0" encoding="utf-8"?>
<calcChain xmlns="http://schemas.openxmlformats.org/spreadsheetml/2006/main">
  <c r="A2" i="1" l="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642" i="1"/>
  <c r="A643" i="1"/>
  <c r="A644" i="1"/>
  <c r="A645" i="1"/>
  <c r="A646" i="1"/>
  <c r="A647" i="1"/>
  <c r="A648" i="1"/>
  <c r="A649" i="1"/>
  <c r="A650" i="1"/>
  <c r="A651" i="1"/>
  <c r="A652" i="1"/>
  <c r="A653" i="1"/>
  <c r="A654" i="1"/>
  <c r="A655" i="1"/>
  <c r="A656" i="1"/>
  <c r="A657" i="1"/>
  <c r="A658" i="1"/>
  <c r="A659" i="1"/>
  <c r="A660" i="1"/>
  <c r="A661" i="1"/>
  <c r="A662" i="1"/>
  <c r="A663" i="1"/>
  <c r="A664" i="1"/>
  <c r="A665" i="1"/>
  <c r="A666" i="1"/>
  <c r="A667" i="1"/>
  <c r="A668" i="1"/>
  <c r="A669" i="1"/>
  <c r="A670" i="1"/>
  <c r="A671" i="1"/>
  <c r="A672" i="1"/>
  <c r="A673" i="1"/>
  <c r="A674" i="1"/>
  <c r="A675" i="1"/>
  <c r="A676" i="1"/>
  <c r="A677" i="1"/>
  <c r="A678" i="1"/>
  <c r="A679" i="1"/>
  <c r="A680" i="1"/>
  <c r="A681" i="1"/>
  <c r="A682" i="1"/>
  <c r="A683" i="1"/>
  <c r="A684" i="1"/>
  <c r="A685" i="1"/>
  <c r="A686" i="1"/>
  <c r="A687" i="1"/>
  <c r="A688" i="1"/>
  <c r="A689" i="1"/>
  <c r="A690" i="1"/>
  <c r="A691" i="1"/>
  <c r="A692" i="1"/>
  <c r="A693" i="1"/>
  <c r="A694" i="1"/>
  <c r="A695" i="1"/>
  <c r="A696" i="1"/>
  <c r="A697" i="1"/>
  <c r="A698" i="1"/>
</calcChain>
</file>

<file path=xl/sharedStrings.xml><?xml version="1.0" encoding="utf-8"?>
<sst xmlns="http://schemas.openxmlformats.org/spreadsheetml/2006/main" count="5364" uniqueCount="2380">
  <si>
    <t>CIG</t>
  </si>
  <si>
    <t>Struttura proponente</t>
  </si>
  <si>
    <t>Oggetto</t>
  </si>
  <si>
    <t>Scelta del contraente</t>
  </si>
  <si>
    <t>Elenco operatori invitati</t>
  </si>
  <si>
    <t>Aggiudicatario</t>
  </si>
  <si>
    <t>Importo di aggiudicazione</t>
  </si>
  <si>
    <t>Tempi</t>
  </si>
  <si>
    <t>Importo somme liquidate</t>
  </si>
  <si>
    <t>00422420588-Istituto Zooprofilattico Sperimentale del Lazio e della Toscana M. Aleandri - Inventariabili</t>
  </si>
  <si>
    <t xml:space="preserve">1 licenza Windows server </t>
  </si>
  <si>
    <t>23-AFFIDAMENTO DIRETTO</t>
  </si>
  <si>
    <t>00695690362-Datagraph</t>
  </si>
  <si>
    <t>810.0</t>
  </si>
  <si>
    <t>0.0</t>
  </si>
  <si>
    <t>00422420588-Istituto Zooprofilattico Sperimentale del Lazio e della Toscana M. Aleandri - Consumabili</t>
  </si>
  <si>
    <t>Fornitura annuale di prodotti Thermo</t>
  </si>
  <si>
    <t>04-PROCEDURA NEGOZIATA SENZA PREVIA PUBBLICAZIONE</t>
  </si>
  <si>
    <t>05160820287-ORION SCIENTIFIC S.R.L.,07817950152-THERMO FISHER SCIENTIFIC S.P.A.</t>
  </si>
  <si>
    <t>07817950152-THERMO FISHER SCIENTIFIC S.P.A.</t>
  </si>
  <si>
    <t>19822.59</t>
  </si>
  <si>
    <t xml:space="preserve">Procedura aperta di rilevanza comunitaria ai sensi del Decreto Legislativo 18 aprile 2016, n. 50, art. 60, per l'affidamento della fornitura di n. 1 cromatografo liquido con Spettrometro di massa tandem (LC-MS/MS) </t>
  </si>
  <si>
    <t>01-PROCEDURA APERTA</t>
  </si>
  <si>
    <t>04742591003-WATERS SPA,06734220962-AB SCIEX SRL</t>
  </si>
  <si>
    <t>00422420588-Istituto Zooprofilattico Sperimentale del Lazio e della Toscana M. Aleandri - UO Acquisizione Beni e Servizi</t>
  </si>
  <si>
    <t>Antisieri per Shigella</t>
  </si>
  <si>
    <t>33-PROCEDURA NEGOZIATA PER AFFIDAMENTI SOTTO SOGLIA</t>
  </si>
  <si>
    <t>05150990280-BIOGENETICS DIAGNOSTICS S.R.L.,01857820284-CLINI-LAB SRL,01794050151-LP ITALIANA,03680250283-EUROIMMUN ITALIA S.R.L. CON SOCIO UNICO,05632311212-M&amp;M Biotech S.c.ar.l,00721920155-CARL ZEISS SPA,05706610481-VINCI-BIOCHEM SRL,05376651005-Bioscientifica,01802940484-CARLO ERBA REAGENTS SRL,12032450152-Idexx Laboratories Italia srl,ESA28090819-LABORATORIOS CONDA SA,01870870548-STEROGLASS S.R.L.,05688870483-A. MENARINI DIAGNOSTICS SRL,03898780378-TEMA RICERCA SRL,12864800151-vwr international srl,08126390155-EUROCLONE SPA,00875820326-Eurofins Tecna s.r.l.,00889160156-Thermo Fisher Diagnostics S.p.A.,15352921009-Lab Creator Srl,10990420969-altona Diagnostics Italia Srl,09971540159-Meridian Bioscience Europe,06614040159-Technogenetics SPA,07246691005-Servizi Diagnostici S.r.l.,01086690581-S.I.A.L. SRL,00801720152-BIO - RAD LABORATORIES  SRL,01022690364-EXACTA+OPTECH Labcenter S.p.A.,02173800281-Biosigma,13209130155-Merck Life Science S.r.l.,10767630154-EPPENDORF SRL.,06754140157-BIO-OPTICA MILANO SPA,13023610150-Starlab Srl,03642300960-R-BIOPHARM ITALIA S.R.L.,02829240155-GILSON ITALIA,04437501002-unimed scientifica s.r.l.,04429130877-Omnia Diagnostica srl,02791720960-Li StarFish,12657941006-CLINISCIENCES SRL UNIPERSONALE,05908410961-ANALYTICAL CONTROL DE MORI SRL CON SOCIO UNICO,02993600366-Generon SPA,00941660151-D.I.D. DIAGNOSTIC INTERNATIONAL DISTRIBUTION SPA,143/101/23316-Meter Group AG</t>
  </si>
  <si>
    <t>05150990280-BIOGENETICS DIAGNOSTICS S.R.L.</t>
  </si>
  <si>
    <t>1270.08</t>
  </si>
  <si>
    <t>00422420588-Istituto Zooprofilattico Sperimentale del Lazio e della Toscana M. Aleandri - UO Tecnico-Patrimoniale e Ingegneria Clinica</t>
  </si>
  <si>
    <t>PROCEDURA APERTA, DI IMPORTO SUPERIORE ALLE SOGLIE COMUNITARIE, PER L'AFFIDAMENTO DEL SERVIZIO DI MANUTENZIONE GLOBALE DELLE APPARECCHIATURE SCIENTIFICHE E DI LABORATORIO DEI VARI PRESIDI DELL'ISTITUTO ZOOPROFILATTICO SPERIMENTALE DEL LAZIO E DELLA TOSCANA M. ALEANDRI, PER UNA DURATA DI N. 4 ANNI, CON OPZIONE DI RINNOVO PER ULTERIORI 4 ANNI - IMPORTO TOTALE EURO 12.000.000,00</t>
  </si>
  <si>
    <t>Fornitura di Nexion setup solution STD</t>
  </si>
  <si>
    <t>00742090152-Perkin Elmer Italia S.p.A.</t>
  </si>
  <si>
    <t>294.0</t>
  </si>
  <si>
    <t>Fornitura di colonnine immunoaffinità trembolone/19 nortestosterone</t>
  </si>
  <si>
    <t>Fornitura annuale di kit Zeu e sacchetti per fibra grezza</t>
  </si>
  <si>
    <t>03112840172-Astori Tecnica Srl</t>
  </si>
  <si>
    <t>1170.0</t>
  </si>
  <si>
    <t>380.0</t>
  </si>
  <si>
    <t>Fornitura triennale di standards e consumabili per crioscopia</t>
  </si>
  <si>
    <t xml:space="preserve">fornitura di n. 1 microscopio ottico dritto e 1 obiettivo 100 x ad immersione </t>
  </si>
  <si>
    <t>Antisieri salmonella somatici e flagellari</t>
  </si>
  <si>
    <t>01857820284-CLINI-LAB SRL,01794050151-LP ITALIANA,02791720960-Li StarFish,12032450152-Idexx Laboratories Italia srl,ESA28090819-LABORATORIOS CONDA SA,05688870483-A. MENARINI DIAGNOSTICS SRL,01870870548-STEROGLASS S.R.L.,03898780378-TEMA RICERCA SRL,03680250283-EUROIMMUN ITALIA S.R.L. CON SOCIO UNICO,12864800151-vwr international srl,08126390155-EUROCLONE SPA,00875820326-Eurofins Tecna s.r.l.,143/101/23316-Meter Group AG,00889160156-Thermo Fisher Diagnostics S.p.A.,15352921009-Lab Creator Srl,00721920155-CARL ZEISS SPA,05632311212-M&amp;M Biotech S.c.ar.l,09971540159-Meridian Bioscience Europe,10990420969-altona Diagnostics Italia Srl,06614040159-Technogenetics SPA,07246691005-Servizi Diagnostici S.r.l.,01086690581-S.I.A.L. SRL,01022690364-EXACTA+OPTECH Labcenter S.p.A.,00801720152-BIO - RAD LABORATORIES  SRL,02173800281-Biosigma,10767630154-EPPENDORF SRL.,06754140157-BIO-OPTICA MILANO SPA,13209130155-Merck Life Science S.r.l.,13023610150-Starlab Srl,03642300960-R-BIOPHARM ITALIA S.R.L.,02829240155-GILSON ITALIA,04437501002-unimed scientifica s.r.l.,05376651005-Bioscientifica,04429130877-Omnia Diagnostica srl,01802940484-CARLO ERBA REAGENTS SRL,12657941006-CLINISCIENCES SRL UNIPERSONALE,05908410961-ANALYTICAL CONTROL DE MORI SRL CON SOCIO UNICO,02993600366-Generon SPA,00941660151-D.I.D. DIAGNOSTIC INTERNATIONAL DISTRIBUTION SPA,05706610481-VINCI-BIOCHEM SRL,05150990280-BIOGENETICS DIAGNOSTICS S.R.L.</t>
  </si>
  <si>
    <t>65153.76</t>
  </si>
  <si>
    <t>Antisieri per E.coli</t>
  </si>
  <si>
    <t>05150990280-BIOGENETICS DIAGNOSTICS S.R.L.,01857820284-CLINI-LAB SRL,01794050151-LP ITALIANA,03680250283-EUROIMMUN ITALIA S.R.L. CON SOCIO UNICO,00875820326-Eurofins Tecna s.r.l.,143/101/23316-Meter Group AG,00889160156-Thermo Fisher Diagnostics S.p.A.,05706610481-VINCI-BIOCHEM SRL,05376651005-Bioscientifica,01802940484-CARLO ERBA REAGENTS SRL,12032450152-Idexx Laboratories Italia srl,ESA28090819-LABORATORIOS CONDA SA,01870870548-STEROGLASS S.R.L.,05688870483-A. MENARINI DIAGNOSTICS SRL,03898780378-TEMA RICERCA SRL,12864800151-vwr international srl,08126390155-EUROCLONE SPA,15352921009-Lab Creator Srl,00721920155-CARL ZEISS SPA,05632311212-M&amp;M Biotech S.c.ar.l,10990420969-altona Diagnostics Italia Srl,09971540159-Meridian Bioscience Europe,06614040159-Technogenetics SPA,07246691005-Servizi Diagnostici S.r.l.,01086690581-S.I.A.L. SRL,00801720152-BIO - RAD LABORATORIES  SRL,01022690364-EXACTA+OPTECH Labcenter S.p.A.,02173800281-Biosigma,13209130155-Merck Life Science S.r.l.,10767630154-EPPENDORF SRL.,06754140157-BIO-OPTICA MILANO SPA,13023610150-Starlab Srl,03642300960-R-BIOPHARM ITALIA S.R.L.,02829240155-GILSON ITALIA,04437501002-unimed scientifica s.r.l.,04429130877-Omnia Diagnostica srl,02791720960-Li StarFish,12657941006-CLINISCIENCES SRL UNIPERSONALE,00941660151-D.I.D. DIAGNOSTIC INTERNATIONAL DISTRIBUTION SPA,05908410961-ANALYTICAL CONTROL DE MORI SRL CON SOCIO UNICO,02993600366-Generon SPA</t>
  </si>
  <si>
    <t>00941660151-D.I.D. DIAGNOSTIC INTERNATIONAL DISTRIBUTION SPA</t>
  </si>
  <si>
    <t>1218.0</t>
  </si>
  <si>
    <t>Fornitura triennale complemento di cavia liofilizzato</t>
  </si>
  <si>
    <t>Fornitura annuale di prodotti Restek</t>
  </si>
  <si>
    <t>03226210155-Restek S.r.l.,03586820650-Avantech Group srl</t>
  </si>
  <si>
    <t>03226210155-Restek S.r.l.</t>
  </si>
  <si>
    <t>1981.68</t>
  </si>
  <si>
    <t>oda n. 6880598 per la fornitura del servizio di migrazione dati</t>
  </si>
  <si>
    <t>01671671004-proge-software</t>
  </si>
  <si>
    <t>RDO3034719 - Fornitura biennale vario in plastica per laboratorio</t>
  </si>
  <si>
    <t>n. 2 cappe chimiche</t>
  </si>
  <si>
    <t>11276961007-MICRO LAB EQUIPMENT SRL,10282490159-THERMO FISHER SCIENTIFIC MILANO s.r.l.,02481080964-AHSI,05688870483-A. MENARINI DIAGNOSTICS SRL,05908410961-ANALYTICAL CONTROL DE MORI SRL CON SOCIO UNICO,06754140157-BIO-OPTICA MILANO SPA,11078210967-BIOAIR SPA,05376651005-Bioscientifica,02173800281-Biosigma,10828560960-Cytosens Srls,13023610150-Starlab Srl,02705540165-Diapath S.p.A.,01022690364-EXACTA+OPTECH Labcenter S.p.A.,01758800161-FKV SRL,02829240155-GILSON ITALIA,01870870548-STEROGLASS S.R.L.,07057740156-SENECO SRL,03176570723-LAB INSTRUMENTS S.R.L.,11222970151-ORMA SRL,00805390283-LABOINDUSTRIA S.p.A.,05632311212-M&amp;M Biotech S.c.ar.l,01086690581-S.I.A.L. SRL,04437501002-unimed scientifica s.r.l.,12864800151-vwr international srl,09933630155-LEICA MICROSYSTEMS SRL,01802940484-CARLO ERBA REAGENTS SRL</t>
  </si>
  <si>
    <t>Prolungamento servizio di noleggio gazebi copertura celle frigo sede di Arezzo e Viterbo - rif. UOM414/21_2</t>
  </si>
  <si>
    <t>12083831003-Del Brusco S.r.l.</t>
  </si>
  <si>
    <t>3000.0</t>
  </si>
  <si>
    <t>Fornitura di standards per HPLC</t>
  </si>
  <si>
    <t>13209130155-Merck Life Science S.r.l.</t>
  </si>
  <si>
    <t>1986.59</t>
  </si>
  <si>
    <t>Fornitura annuale di kir rapidvet H cane e gatto</t>
  </si>
  <si>
    <t>01152200018-AGROLABO SPA</t>
  </si>
  <si>
    <t>336.0</t>
  </si>
  <si>
    <t>Prodotti di elettrofeoresi e blotting</t>
  </si>
  <si>
    <t>10926691006-Aurogene s.r.l.,08126390155-EUROCLONE SPA,05158401009-RESNOVASRL,01802940484-CARLO ERBA REAGENTS SRL,13209130155-Merck Life Science S.r.l.,01086690581-S.I.A.L. SRL,12792100153-LIFE TECHNOLOGIES ITALIA FIL. LIFE TECHNOLOGIES EUROPE BV,00801720152-BIO - RAD LABORATORIES  SRL,11303391004-BIO-CELL S.r.l.</t>
  </si>
  <si>
    <t>05158401009-RESNOVASRL</t>
  </si>
  <si>
    <t>7962.0</t>
  </si>
  <si>
    <t>1097.0</t>
  </si>
  <si>
    <t>Fornitura biennale di indumenti e DPI da laboratorio</t>
  </si>
  <si>
    <t>Fornitura triennale di materiale in vetro per laboratorio</t>
  </si>
  <si>
    <t>Fornitura annuale di prodotti Buchi</t>
  </si>
  <si>
    <t>10607700159-BUCHI ITALIA SRL</t>
  </si>
  <si>
    <t>10468.0</t>
  </si>
  <si>
    <t>357.0</t>
  </si>
  <si>
    <t>Fornitura di kit elisa bovine A1-A2 b-caseine</t>
  </si>
  <si>
    <t>00422420588-Istituto Zooprofilattico Sperimentale del Lazio e della Toscana M. Aleandri - Ufficio di Staff Formazione</t>
  </si>
  <si>
    <t xml:space="preserve">normqa UNI CEN/TS 13131-23: 2006 </t>
  </si>
  <si>
    <t xml:space="preserve">80037830157-Ente Nazionale Italiano di Unificazione </t>
  </si>
  <si>
    <t>37.75</t>
  </si>
  <si>
    <t>Antisieri per Listeria monocytogenes</t>
  </si>
  <si>
    <t>01857820284-CLINI-LAB SRL,01794050151-LP ITALIANA,05632311212-M&amp;M Biotech S.c.ar.l,01802940484-CARLO ERBA REAGENTS SRL,12032450152-Idexx Laboratories Italia srl,05688870483-A. MENARINI DIAGNOSTICS SRL,ESA28090819-LABORATORIOS CONDA SA,01870870548-STEROGLASS S.R.L.,03898780378-TEMA RICERCA SRL,12864800151-vwr international srl,03680250283-EUROIMMUN ITALIA S.R.L. CON SOCIO UNICO,08126390155-EUROCLONE SPA,00875820326-Eurofins Tecna s.r.l.,00889160156-Thermo Fisher Diagnostics S.p.A.,15352921009-Lab Creator Srl,00721920155-CARL ZEISS SPA,10990420969-altona Diagnostics Italia Srl,09971540159-Meridian Bioscience Europe,06614040159-Technogenetics SPA,07246691005-Servizi Diagnostici S.r.l.,01086690581-S.I.A.L. SRL,00801720152-BIO - RAD LABORATORIES  SRL,01022690364-EXACTA+OPTECH Labcenter S.p.A.,02173800281-Biosigma,10767630154-EPPENDORF SRL.,06754140157-BIO-OPTICA MILANO SPA,13209130155-Merck Life Science S.r.l.,13023610150-Starlab Srl,03642300960-R-BIOPHARM ITALIA S.R.L.,02829240155-GILSON ITALIA,04437501002-unimed scientifica s.r.l.,05376651005-Bioscientifica,04429130877-Omnia Diagnostica srl,02791720960-Li StarFish,12657941006-CLINISCIENCES SRL UNIPERSONALE,05908410961-ANALYTICAL CONTROL DE MORI SRL CON SOCIO UNICO,02993600366-Generon SPA,00941660151-D.I.D. DIAGNOSTIC INTERNATIONAL DISTRIBUTION SPA,143/101/23316-Meter Group AG,05706610481-VINCI-BIOCHEM SRL,05150990280-BIOGENETICS DIAGNOSTICS S.R.L.</t>
  </si>
  <si>
    <t>4691.41</t>
  </si>
  <si>
    <t>2 densitometro</t>
  </si>
  <si>
    <t>00718330152-Mettler Toledo spa</t>
  </si>
  <si>
    <t>4492.8</t>
  </si>
  <si>
    <t>Fornitura di filamento al tungsteno per microscopio elettronico</t>
  </si>
  <si>
    <t>02774510966-Media System Lab</t>
  </si>
  <si>
    <t>465.7</t>
  </si>
  <si>
    <t>Fornitura annuale di agenti diagnostici Omnia</t>
  </si>
  <si>
    <t>04429130877-Omnia Diagnostica srl</t>
  </si>
  <si>
    <t>10480.0</t>
  </si>
  <si>
    <t>1065.0</t>
  </si>
  <si>
    <t>Fornitura di sieri anti yersinia enterocolitica</t>
  </si>
  <si>
    <t>02993600366-Generon SPA</t>
  </si>
  <si>
    <t>174.48</t>
  </si>
  <si>
    <t>fornitura di n. 2 microscopi ottici dritti campo chiaro a fluorescenza con telecamera digitale, software e PC</t>
  </si>
  <si>
    <t>en iso/IEC 17000: 2020</t>
  </si>
  <si>
    <t>72.0</t>
  </si>
  <si>
    <t>Fornitura di circuito rigas Randox</t>
  </si>
  <si>
    <t>92015900589-RANDOX LABORATORIES LIMITED</t>
  </si>
  <si>
    <t>749.0</t>
  </si>
  <si>
    <t xml:space="preserve"> Fornitura di reagenti Merck</t>
  </si>
  <si>
    <t>5225.0</t>
  </si>
  <si>
    <t>2797.4</t>
  </si>
  <si>
    <t>Fornitura biennale di sangue animale</t>
  </si>
  <si>
    <t>RCCCHR86R62E058U-Allevamento Blood di Ricci Chiara</t>
  </si>
  <si>
    <t>11984.0</t>
  </si>
  <si>
    <t>Fornitura annuale si standards CIL</t>
  </si>
  <si>
    <t>03442910372-LabService Analytica</t>
  </si>
  <si>
    <t>8561.4</t>
  </si>
  <si>
    <t>Fornitura di colonnine SPE</t>
  </si>
  <si>
    <t>02079741209-Ultra Scientific Italia Srl</t>
  </si>
  <si>
    <t>3304.0</t>
  </si>
  <si>
    <t>Fornitura di kit diagnostic EFB e AFB</t>
  </si>
  <si>
    <t>03517240275-VITA ITALIA S.r.l.</t>
  </si>
  <si>
    <t>1264.0</t>
  </si>
  <si>
    <t>Fornitura di reagenti VWR</t>
  </si>
  <si>
    <t>12864800151-vwr international srl</t>
  </si>
  <si>
    <t>562.72</t>
  </si>
  <si>
    <t>td 1484346 servizio di aggiornamento PCC</t>
  </si>
  <si>
    <t>01190430262-kibernetes srl</t>
  </si>
  <si>
    <t>12000.0</t>
  </si>
  <si>
    <t>Fornitura quadriennale di kit di reagenti per estrazione di DNA MagPurix</t>
  </si>
  <si>
    <t>293128.0</t>
  </si>
  <si>
    <t>Fornitura di filtri Arium e siringhe</t>
  </si>
  <si>
    <t>05748910485-SARTORIUS ITALY SRL</t>
  </si>
  <si>
    <t>3292.9</t>
  </si>
  <si>
    <t>2401.2</t>
  </si>
  <si>
    <t>Affidamento diretto ai sensi dell'art. 1 comma 2 del DL 76/2020 ssmmii previo confronto concorrenziale, dei lavori di asfaltatura delle aree limitrofe alla sala necroscopica della UO Toscana Nord sede di Pisa, compreso il piazzale antistante</t>
  </si>
  <si>
    <t>01940350505-Giuliani srl</t>
  </si>
  <si>
    <t>19912.0</t>
  </si>
  <si>
    <t>Fornitura per 18 mesi di disinfettanti per superfici e attrezzature di laboratorio</t>
  </si>
  <si>
    <t>12467671009-MV Medical srl,05626031008-SP MED SRL,05376651005-Bioscientifica,02173800281-Biosigma</t>
  </si>
  <si>
    <t>02173800281-Biosigma</t>
  </si>
  <si>
    <t>38995.0</t>
  </si>
  <si>
    <t>Fornitura biennale di colonnine Vicam</t>
  </si>
  <si>
    <t>02076500343-EUROLAB SRL</t>
  </si>
  <si>
    <t>26828.0</t>
  </si>
  <si>
    <t>2600.0</t>
  </si>
  <si>
    <t>Fornitura annuale di disposable gelatine membrane +filtri</t>
  </si>
  <si>
    <t>9973.64</t>
  </si>
  <si>
    <t>307.2</t>
  </si>
  <si>
    <t>ODA n. 6274176 su Mercato Elettronico della Pubblica Amministrazione per limplementazione del software Appalti&amp;Contratti e per il servizio di manutenzione e assistenza</t>
  </si>
  <si>
    <t>06188330150-MAGGIOLI SPA</t>
  </si>
  <si>
    <t>11683.0</t>
  </si>
  <si>
    <t>Fornitura di terreni di coltura Mast e Biokar</t>
  </si>
  <si>
    <t>9149.75</t>
  </si>
  <si>
    <t>2262.45</t>
  </si>
  <si>
    <t>Acquisizione spazio espositivo virtuale XV Forum Risk Management Arezzzo</t>
  </si>
  <si>
    <t>01661540516-gutenberg</t>
  </si>
  <si>
    <t>600.0</t>
  </si>
  <si>
    <t>Fornitura di Collagenasi IA</t>
  </si>
  <si>
    <t>4541.0</t>
  </si>
  <si>
    <t>Fornitura di tamponi con terreno amies</t>
  </si>
  <si>
    <t>01149250159-BIOLIFE ITALIANA S.R.L.</t>
  </si>
  <si>
    <t>1034.7</t>
  </si>
  <si>
    <t>Fornitura annuale di prodotti per crioscopia</t>
  </si>
  <si>
    <t>2259.0</t>
  </si>
  <si>
    <t>2488.3</t>
  </si>
  <si>
    <t>Fornitura di Nucleosnap plasmid midi kit</t>
  </si>
  <si>
    <t xml:space="preserve">Procedura negoziata senza previa pubblicazione di un bando di gara ex art. 36, comma 2, lett. b), del Decreto legislativo 18 aprile 2016, n. 50, per l'affidamento del servizio di manutenzione degli impianti elevatori, ascensori e montacarichi di proprietà dell'Istituto Zooprofilattico Sperimentale del Lazio e della Toscana per la durata di tre anni - Importo presunto 120.000+IVA - CIG 9335312F27 </t>
  </si>
  <si>
    <t>08014981214-Allegro Impianti e Servizi Srl,15835411008-Grivan Group S.P.A.,00842990152-SCHINDLER S.P.A.,06306490639-GRIEC.AM.,01729590032-OTIS SERVIZI S.r.l.,06661380631-DEL VECCHIO S.R.L.,03986821001-MARROCCO ELEVATORS S.R.L.,14185641009-Tecno Ascensori Roma SpA,06604591005-STIMER SRL,03702760962-TK Elevator Italia Spa</t>
  </si>
  <si>
    <t>03702760962-TK Elevator Italia Spa</t>
  </si>
  <si>
    <t>45870.0</t>
  </si>
  <si>
    <t>Fornitura di detersivi per il trattamento di strumenti da laboratorio</t>
  </si>
  <si>
    <t>00098590219-Miele Italia Srl</t>
  </si>
  <si>
    <t>2418.25</t>
  </si>
  <si>
    <t>Fornitura annuale materiale vario in plastica da laboratorio.</t>
  </si>
  <si>
    <t>00195980289-Artiglass srl,00278110929-Bodanchimica,00805390283-LABOINDUSTRIA S.p.A.,05376651005-Bioscientifica</t>
  </si>
  <si>
    <t>00805390283-LABOINDUSTRIA S.p.A.</t>
  </si>
  <si>
    <t>18645.43</t>
  </si>
  <si>
    <t>Fornitura di agenti diagnostici Life Technologies</t>
  </si>
  <si>
    <t>12792100153-LIFE TECHNOLOGIES ITALIA FIL. LIFE TECHNOLOGIES EUROPE BV</t>
  </si>
  <si>
    <t>4935.6</t>
  </si>
  <si>
    <t xml:space="preserve">Norme Uni prev 597 </t>
  </si>
  <si>
    <t>305.31</t>
  </si>
  <si>
    <t>norma UNI prev 746/comm1 rich. 18/2020</t>
  </si>
  <si>
    <t>66.8</t>
  </si>
  <si>
    <t xml:space="preserve"> norma Uni rich. n. 14 prev 855/comm1 </t>
  </si>
  <si>
    <t>38.0</t>
  </si>
  <si>
    <t>Fornitura di anticorpi monoclonali</t>
  </si>
  <si>
    <t>12785290151-Agilent Technologies Italia S.p.A.</t>
  </si>
  <si>
    <t>1293.0</t>
  </si>
  <si>
    <t>Fornitura di sieri salmonella</t>
  </si>
  <si>
    <t>11495.0</t>
  </si>
  <si>
    <t>13423.0</t>
  </si>
  <si>
    <t>Adesione a convenzione carburanti extrarete - Gasolio da riscaldamento 12 - Lotto14</t>
  </si>
  <si>
    <t>26-AFFIDAMENTO DIRETTO IN ADESIONE AD ACCORDO QUADRO/CONVENZIONE</t>
  </si>
  <si>
    <t>01252710403-Bronchi Combustibili S.r.l. a socio unico</t>
  </si>
  <si>
    <t>15000.0</t>
  </si>
  <si>
    <t xml:space="preserve">UNI ISO 210001: 2019 RICH 32 </t>
  </si>
  <si>
    <t>91.3</t>
  </si>
  <si>
    <t>oda n. 6868598 per la fornitura del il rinnovo annuale di n. 2 licenze del software Ispring Suite Max</t>
  </si>
  <si>
    <t>02409740244-Campustore Srl</t>
  </si>
  <si>
    <t>1200.0</t>
  </si>
  <si>
    <t>Fornitura triennale di pipette monouso sterili in polistirene</t>
  </si>
  <si>
    <t>01857820284-CLINI-LAB SRL,03450130285-VACUTEST KIMA SRL,01022690364-EXACTA+OPTECH Labcenter S.p.A.,05376651005-Bioscientifica,07995660581-Spectra 2000 Srl,15352921009-Lab Creator Srl,02173800281-Biosigma,10828560960-Cytosens Srls</t>
  </si>
  <si>
    <t>33914.5</t>
  </si>
  <si>
    <t>Prodotti di Polimerase Chain Reaction e Reverse Transciptase (PCR)</t>
  </si>
  <si>
    <t>05158401009-RESNOVASRL,13209130155-Merck Life Science S.r.l.,01802940484-CARLO ERBA REAGENTS SRL,01086690581-S.I.A.L. SRL,12792100153-LIFE TECHNOLOGIES ITALIA FIL. LIFE TECHNOLOGIES EUROPE BV,00801720152-BIO - RAD LABORATORIES  SRL,08126390155-EUROCLONE SPA,11303391004-BIO-CELL S.r.l.,10926691006-Aurogene s.r.l.</t>
  </si>
  <si>
    <t>10926691006-Aurogene s.r.l.</t>
  </si>
  <si>
    <t>11744.0</t>
  </si>
  <si>
    <t>1277.0</t>
  </si>
  <si>
    <t>Fornitura scatoline portavetrini in cartone resistente</t>
  </si>
  <si>
    <t>08948430965-FISHER SCIENTIFIC SAS</t>
  </si>
  <si>
    <t xml:space="preserve">fornitura di n. 1 dinamometro portatile </t>
  </si>
  <si>
    <t>08425410969-LD ITALIA DI BRAMBILLA DONALD PAOLO</t>
  </si>
  <si>
    <t>Fornitura biennale di prodotti agilent</t>
  </si>
  <si>
    <t>04756320273-D.T.O. S.R.L.,12785290151-Agilent Technologies Italia S.p.A.,01463800035-C.P.S. Analitica SRL</t>
  </si>
  <si>
    <t>04756320273-D.T.O. S.R.L.</t>
  </si>
  <si>
    <t>17509.45</t>
  </si>
  <si>
    <t>4448.7</t>
  </si>
  <si>
    <t>Fornitura biennale di reagenti per analizzatore biochimico Biolis 50i</t>
  </si>
  <si>
    <t>07246691005-Servizi Diagnostici S.r.l.</t>
  </si>
  <si>
    <t>19578.14</t>
  </si>
  <si>
    <t>2399.4</t>
  </si>
  <si>
    <t>Servizio di certificazione termometro di prima linea</t>
  </si>
  <si>
    <t>06914601007-ASCISSE S.R.L.</t>
  </si>
  <si>
    <t>1188.0</t>
  </si>
  <si>
    <t xml:space="preserve">norma iso100004:2019 </t>
  </si>
  <si>
    <t>Ripristino impianto di alimentazione idrica antibatterica di servizio all'app.re Bactoscana laboratorio latte sede di Roma - rif. UOM669/21</t>
  </si>
  <si>
    <t>07348710588-S.I.E.M. SOCIETA' ITALIANA ELETTRO MEDICALI S.R.L.</t>
  </si>
  <si>
    <t>1250.0</t>
  </si>
  <si>
    <t>1187.5</t>
  </si>
  <si>
    <t>Affidamento incarico di Direttore dei Lavori nuovo impianto UTA, fornitura e posa in opera di un gruppo ad acqua, sostituzione bussole esistenti (comprensivo di rampa e porte d'emergenza), nuovo cavedio per eliminazione umidità su parete esterna, rifacimento facciate e asfalto piazzale esterno presso la sede di Roma</t>
  </si>
  <si>
    <t>MRCSFN73P44C351E-Marchese Stefania,02307680609-A.M. Engineering Srl,CRDLZM56D67C066S-STUDIO TECNICO ARCH. LETIZIA MARIA CARDARELLI</t>
  </si>
  <si>
    <t>CRDLZM56D67C066S-STUDIO TECNICO ARCH. LETIZIA MARIA CARDARELLI</t>
  </si>
  <si>
    <t>10380.32</t>
  </si>
  <si>
    <t>Servizio di taratura Filtri ottici + Piastra</t>
  </si>
  <si>
    <t>01426050157-HELLMA ITALIA SRL</t>
  </si>
  <si>
    <t>2775.0</t>
  </si>
  <si>
    <t>Fornitura Human IFN Alpha Hybrid</t>
  </si>
  <si>
    <t>12410660158-TEBU-BIO SRL</t>
  </si>
  <si>
    <t>905.0</t>
  </si>
  <si>
    <t xml:space="preserve"> oda 7082954 fornitura di n. 10 vortex</t>
  </si>
  <si>
    <t>Fornitura di materiali di consumo FKV</t>
  </si>
  <si>
    <t>01758800161-FKV SRL</t>
  </si>
  <si>
    <t>678.0</t>
  </si>
  <si>
    <t>Fornitura biennale di pipette Pasteur monouso sterili e non sterili</t>
  </si>
  <si>
    <t>11222970151-ORMA SRL,13023610150-Starlab Srl,01870870548-STEROGLASS S.R.L.,01794050151-LP ITALIANA,07246691005-Servizi Diagnostici S.r.l.,11276961007-MICRO LAB EQUIPMENT SRL,12864800151-vwr international srl,00805390283-LABOINDUSTRIA S.p.A.,01802940484-CARLO ERBA REAGENTS SRL,03176570723-LAB INSTRUMENTS S.R.L.</t>
  </si>
  <si>
    <t>8451.62</t>
  </si>
  <si>
    <t xml:space="preserve">TD n. 3251549 - Affidamento ex art. 36, comma 2, lett. a), del Decreto Legislativo 18 aprile 2016, n. 50, per la fornitura di una licenza duso e dei relativi servizi di aggiornamento, assistenza e manutenzione software  Importo di  11.900,00 IVA esclusa </t>
  </si>
  <si>
    <t>01035310414-Teamsystem spa</t>
  </si>
  <si>
    <t>11853.25</t>
  </si>
  <si>
    <t xml:space="preserve">Affidamento diretto ai sensi dell'art. 1 comma 2 del DL 76/2020 ssmmii previo confronto concorrenziale, dei lavori e delle opere atte a garantire il deflusso delle acque meteoriche nell'area prospicente l'ingresso principale dell'Istituto Zooprofilattico Sperimentale del Lazio e della Toscana, sede di Roma.  </t>
  </si>
  <si>
    <t>11741841008-Edil S&amp;P Roma,15183731007-Edil Resolution</t>
  </si>
  <si>
    <t>15183731007-Edil Resolution</t>
  </si>
  <si>
    <t>13300.0</t>
  </si>
  <si>
    <t>Fornitura di seronorm trace elements serum l-2</t>
  </si>
  <si>
    <t>03948960962-LGC Standards S.r.L.</t>
  </si>
  <si>
    <t>384.0</t>
  </si>
  <si>
    <t>Affidamento della fornitura di n. 2 cromatografi liquidi HPLC e n. 1 cromatografo liquido ad alta definizione UHPLC</t>
  </si>
  <si>
    <t>12864800151-vwr international srl,01766930992-ALFATECH SPA,03176570723-LAB INSTRUMENTS S.R.L.,03442910372-LabService Analytica,12785290151-Agilent Technologies Italia S.p.A.</t>
  </si>
  <si>
    <t>154119.66</t>
  </si>
  <si>
    <t>Fornitura di agenti diagnostici Life</t>
  </si>
  <si>
    <t>Fornitura biennale di kit Merifluor Criptosporidium Giardia</t>
  </si>
  <si>
    <t>09971540159-Meridian Bioscience Europe</t>
  </si>
  <si>
    <t>33000.0</t>
  </si>
  <si>
    <t>8000.0</t>
  </si>
  <si>
    <t>n. 4 cappe a flusso</t>
  </si>
  <si>
    <t>11276961007-MICRO LAB EQUIPMENT SRL,02481080964-AHSI,10282490159-THERMO FISHER SCIENTIFIC MILANO s.r.l.,05688870483-A. MENARINI DIAGNOSTICS SRL,05908410961-ANALYTICAL CONTROL DE MORI SRL CON SOCIO UNICO,06754140157-BIO-OPTICA MILANO SPA,11078210967-BIOAIR SPA,05376651005-Bioscientifica,02173800281-Biosigma,10828560960-Cytosens Srls,02705540165-Diapath S.p.A.,01022690364-EXACTA+OPTECH Labcenter S.p.A.,01758800161-FKV SRL,02829240155-GILSON ITALIA,03176570723-LAB INSTRUMENTS S.R.L.,01802940484-CARLO ERBA REAGENTS SRL,00805390283-LABOINDUSTRIA S.p.A.,05632311212-M&amp;M Biotech S.c.ar.l,01086690581-S.I.A.L. SRL,01870870548-STEROGLASS S.R.L.,04437501002-unimed scientifica s.r.l.,12864800151-vwr international srl,09933630155-LEICA MICROSYSTEMS SRL,07057740156-SENECO SRL,13023610150-Starlab Srl,11222970151-ORMA SRL</t>
  </si>
  <si>
    <t>oda 6883762 per la fornitura di n. 1 diluitore dispensatore</t>
  </si>
  <si>
    <t>02829240155-GILSON ITALIA</t>
  </si>
  <si>
    <t>7700.0</t>
  </si>
  <si>
    <t>fornitura di n. 5 microcentrifughe</t>
  </si>
  <si>
    <t>11276961007-MICRO LAB EQUIPMENT SRL</t>
  </si>
  <si>
    <t>23000.0</t>
  </si>
  <si>
    <t>n. 1 lavavetreria</t>
  </si>
  <si>
    <t>07214840014 -Savatec Strumenti S.r.l.</t>
  </si>
  <si>
    <t>00422420588-Istituto Zooprofilattico Sperimentale del Lazio e della Toscana M. Aleandri - Gestione Servizi</t>
  </si>
  <si>
    <t>AFFIDAMENTO DEL SERVIZIO DI TRASPORTO NAZIONALE PER CAMPIONE ANIMALE (ESENTATO DALLA NORMATIVA ADR CAPITOLO 2.2.62.1.5.4) - TEMPERATURA CONTROLLATA</t>
  </si>
  <si>
    <t>10926691006-Aurogene s.r.l.,14662691006-nuvola servizi società cooperativa sociale,07521940721-ECO TRANSFER SRL,03893361000-TRA.SER,04127270157-SOL SpA</t>
  </si>
  <si>
    <t>03893361000-TRA.SER</t>
  </si>
  <si>
    <t>96000.0</t>
  </si>
  <si>
    <t>32880.0</t>
  </si>
  <si>
    <t>Fornitura annuale di kit D-rom e controllo</t>
  </si>
  <si>
    <t>01269940530-Diacron International srl</t>
  </si>
  <si>
    <t>1299.3</t>
  </si>
  <si>
    <t>Fornitura annuale di Kit Adiavet</t>
  </si>
  <si>
    <t>00410720288-FOSS ITALIA SRL</t>
  </si>
  <si>
    <t>24720.0</t>
  </si>
  <si>
    <t>13290.0</t>
  </si>
  <si>
    <t xml:space="preserve">TD n. 3254196- Affidamento ex art. 36, comma 2, lett. a), del Decreto Legislativo 18 aprile 2016, n. 50, per la fornitura di n. 3 VeritiPro Thermal Cycler, 96 Well Importo di  27.000,00 IVA esclusa </t>
  </si>
  <si>
    <t>24000.0</t>
  </si>
  <si>
    <t>Antisieri salmonella onnivalenti e polivalenti somatici e flagellari</t>
  </si>
  <si>
    <t>05150990280-BIOGENETICS DIAGNOSTICS S.R.L.,01857820284-CLINI-LAB SRL,01794050151-LP ITALIANA,ESA28090819-LABORATORIOS CONDA SA,143/101/23316-Meter Group AG,12032450152-Idexx Laboratories Italia srl,10767630154-EPPENDORF SRL.,01802940484-CARLO ERBA REAGENTS SRL,02791720960-Li StarFish,03680250283-EUROIMMUN ITALIA S.R.L. CON SOCIO UNICO,05688870483-A. MENARINI DIAGNOSTICS SRL,01870870548-STEROGLASS S.R.L.,03898780378-TEMA RICERCA SRL,12864800151-vwr international srl,08126390155-EUROCLONE SPA,00875820326-Eurofins Tecna s.r.l.,00889160156-Thermo Fisher Diagnostics S.p.A.,15352921009-Lab Creator Srl,00721920155-CARL ZEISS SPA,05632311212-M&amp;M Biotech S.c.ar.l,10990420969-altona Diagnostics Italia Srl,09971540159-Meridian Bioscience Europe,06614040159-Technogenetics SPA,07246691005-Servizi Diagnostici S.r.l.,01086690581-S.I.A.L. SRL,01022690364-EXACTA+OPTECH Labcenter S.p.A.,00801720152-BIO - RAD LABORATORIES  SRL,02173800281-Biosigma,06754140157-BIO-OPTICA MILANO SPA,13209130155-Merck Life Science S.r.l.,13023610150-Starlab Srl,03642300960-R-BIOPHARM ITALIA S.R.L.,02829240155-GILSON ITALIA,04437501002-unimed scientifica s.r.l.,05376651005-Bioscientifica,04429130877-Omnia Diagnostica srl,12657941006-CLINISCIENCES SRL UNIPERSONALE,00941660151-D.I.D. DIAGNOSTIC INTERNATIONAL DISTRIBUTION SPA,05908410961-ANALYTICAL CONTROL DE MORI SRL CON SOCIO UNICO,02993600366-Generon SPA,05706610481-VINCI-BIOCHEM SRL</t>
  </si>
  <si>
    <t>14588.4</t>
  </si>
  <si>
    <t>Sacchetti autoclavabili</t>
  </si>
  <si>
    <t>Prodotti per estrazione e purificazione di acidi nucleici</t>
  </si>
  <si>
    <t>10926691006-Aurogene s.r.l.,05158401009-RESNOVASRL,01802940484-CARLO ERBA REAGENTS SRL,13209130155-Merck Life Science S.r.l.,01086690581-S.I.A.L. SRL,00801720152-BIO - RAD LABORATORIES  SRL,08126390155-EUROCLONE SPA,11303391004-BIO-CELL S.r.l.,12792100153-LIFE TECHNOLOGIES ITALIA FIL. LIFE TECHNOLOGIES EUROPE BV</t>
  </si>
  <si>
    <t>01086690581-S.I.A.L. SRL</t>
  </si>
  <si>
    <t>9028.0</t>
  </si>
  <si>
    <t>Fornitura annuale di cavie da laboratorio e uova embrionate</t>
  </si>
  <si>
    <t>00887630150-CHARLES RIVER LABORATORIES ITALIA S.R.L.</t>
  </si>
  <si>
    <t xml:space="preserve">norma EN ISO 20776-1: 2021 </t>
  </si>
  <si>
    <t>67.1</t>
  </si>
  <si>
    <t>Affidamento del servizio di assistenza tecnica riguardante la gestione ambientale e degli adempimenti inerenti i rifiuti speciali e supporto al RSPP per lattuazione del Decreto Legislativo 9 aprile 2008, n. 81, da effettuarsi presso le sedi dellIstituto, della durata di anni 4</t>
  </si>
  <si>
    <t>03952181000-Bioconsult S.r.l.</t>
  </si>
  <si>
    <t>124720.0</t>
  </si>
  <si>
    <t>Fornitura annuale di prodotti infungibili QIAGEN</t>
  </si>
  <si>
    <t>13110270157-Qiagen</t>
  </si>
  <si>
    <t>213996.65</t>
  </si>
  <si>
    <t>Adesione a convenzione carburanti extrarete - Gasolio da riscaldamento lotto 14</t>
  </si>
  <si>
    <t>10000.0</t>
  </si>
  <si>
    <t>4167.75</t>
  </si>
  <si>
    <t>Prodotti sali-polveri-soluzioni solventi "molecular biology grade"</t>
  </si>
  <si>
    <t>05158401009-RESNOVASRL,12792100153-LIFE TECHNOLOGIES ITALIA FIL. LIFE TECHNOLOGIES EUROPE BV,01802940484-CARLO ERBA REAGENTS SRL,13209130155-Merck Life Science S.r.l.,01086690581-S.I.A.L. SRL,00801720152-BIO - RAD LABORATORIES  SRL,08126390155-EUROCLONE SPA,11303391004-BIO-CELL S.r.l.,10926691006-Aurogene s.r.l.</t>
  </si>
  <si>
    <t>2881.5</t>
  </si>
  <si>
    <t>Affidamento incarico di Direttore dei Lavori per rinnovo quadro elettrico generale di media tensione, nuovi trasformatori MT/BT da 1000 kVA e nuove batterie a servizio presso la sede di Roma</t>
  </si>
  <si>
    <t>VVIMRC55D12H501T-Arch Marco Vivio,MCCFBA65D14F592V-Arch. Fabio Meacci,BNFCRL53C25F844Q-GRUPPO B&amp;C ING.CARLO BONIFAZI</t>
  </si>
  <si>
    <t>BNFCRL53C25F844Q-GRUPPO B&amp;C ING.CARLO BONIFAZI</t>
  </si>
  <si>
    <t>11130.31</t>
  </si>
  <si>
    <t xml:space="preserve">norma UNIEN ISO 18743: 2015, prev 661 </t>
  </si>
  <si>
    <t>Antisieri per Yersinia enterocolitica</t>
  </si>
  <si>
    <t>05150990280-BIOGENETICS DIAGNOSTICS S.R.L.,01857820284-CLINI-LAB SRL,01794050151-LP ITALIANA,12864800151-vwr international srl,03680250283-EUROIMMUN ITALIA S.R.L. CON SOCIO UNICO,05632311212-M&amp;M Biotech S.c.ar.l,05706610481-VINCI-BIOCHEM SRL,01802940484-CARLO ERBA REAGENTS SRL,12032450152-Idexx Laboratories Italia srl,ESA28090819-LABORATORIOS CONDA SA,01870870548-STEROGLASS S.R.L.,05688870483-A. MENARINI DIAGNOSTICS SRL,03898780378-TEMA RICERCA SRL,08126390155-EUROCLONE SPA,00875820326-Eurofins Tecna s.r.l.,00889160156-Thermo Fisher Diagnostics S.p.A.,15352921009-Lab Creator Srl,00721920155-CARL ZEISS SPA,10990420969-altona Diagnostics Italia Srl,09971540159-Meridian Bioscience Europe,06614040159-Technogenetics SPA,07246691005-Servizi Diagnostici S.r.l.,01086690581-S.I.A.L. SRL,00801720152-BIO - RAD LABORATORIES  SRL,01022690364-EXACTA+OPTECH Labcenter S.p.A.,02173800281-Biosigma,10767630154-EPPENDORF SRL.,13209130155-Merck Life Science S.r.l.,06754140157-BIO-OPTICA MILANO SPA,13023610150-Starlab Srl,03642300960-R-BIOPHARM ITALIA S.R.L.,02829240155-GILSON ITALIA,04437501002-unimed scientifica s.r.l.,05376651005-Bioscientifica,04429130877-Omnia Diagnostica srl,02791720960-Li StarFish,12657941006-CLINISCIENCES SRL UNIPERSONALE,02993600366-Generon SPA,05908410961-ANALYTICAL CONTROL DE MORI SRL CON SOCIO UNICO,00941660151-D.I.D. DIAGNOSTIC INTERNATIONAL DISTRIBUTION SPA,143/101/23316-Meter Group AG</t>
  </si>
  <si>
    <t>2530.08</t>
  </si>
  <si>
    <t xml:space="preserve">Fornitura annuale di sacchetti autoclavabili rifiuti contaminanti </t>
  </si>
  <si>
    <t>5619.09</t>
  </si>
  <si>
    <t>Fornitura annuale di materiali di consumo Leica</t>
  </si>
  <si>
    <t>09933630155-LEICA MICROSYSTEMS SRL</t>
  </si>
  <si>
    <t>13230.59</t>
  </si>
  <si>
    <t>693.6</t>
  </si>
  <si>
    <t>Affidamento di un servizio di consulenza tecnico-agronomica relativa ad alberi di alto fusto siti presso la sede centrale dellIstituto, ai sensi del Decreto Legislativo 18 aprile 2016, n. 50, art. 36, comma 2, lett. a)  IMPORTO  6.250,00+IVA e oneri di legge</t>
  </si>
  <si>
    <t>BLDMHL80H13H501S-Michele Baldasso</t>
  </si>
  <si>
    <t>Fornitura di kit Delvotest</t>
  </si>
  <si>
    <t>02873570739-TKM SRL</t>
  </si>
  <si>
    <t>Rirpistino e revisione generale gruppo UPS dedicato app.ra Diossine sede di Roma - rif. UOM389/21</t>
  </si>
  <si>
    <t>3950.0</t>
  </si>
  <si>
    <t>3752.5</t>
  </si>
  <si>
    <t>Fornitura biennale prodotti in plastica monouso sterile per biologia cellulare</t>
  </si>
  <si>
    <t>oda n. 6882689 per la fornitura di attrezzature e arredi vari,</t>
  </si>
  <si>
    <t>02097170969-manutan ITALIA S.P.A.</t>
  </si>
  <si>
    <t>8615.3</t>
  </si>
  <si>
    <t>Fornitura di ghiaccio secco per le varie sedi dell'Istituto per mesi 6</t>
  </si>
  <si>
    <t xml:space="preserve">TD MEPA n. 3135279 per laffidamento, ai sensi dellart. 63, comma 2, lett. b, punto 2, del Decreto Legislativo 18 aprile 2016, n. 50, della fornitura di strumentazione infungibile Sistema Evisense Labguard L3  </t>
  </si>
  <si>
    <t>07146020586-Biomerieux Italia Spa</t>
  </si>
  <si>
    <t>44175.0</t>
  </si>
  <si>
    <t>fornitura di n. 2 centrifughe</t>
  </si>
  <si>
    <t>05376651005-Bioscientifica</t>
  </si>
  <si>
    <t>1150.13</t>
  </si>
  <si>
    <t>Fornitura annuale di colonnine Phenomenex</t>
  </si>
  <si>
    <t>02691021204-PHENOMENEX</t>
  </si>
  <si>
    <t>28345.0</t>
  </si>
  <si>
    <t>4825.0</t>
  </si>
  <si>
    <t>TD n. 3123710 per la fornitura rinnovo del servizio di assistenza e aggiornamento del software Appalti &amp; Contratti</t>
  </si>
  <si>
    <t>7558.0</t>
  </si>
  <si>
    <t>Fornitura di kit Promega</t>
  </si>
  <si>
    <t>Fornitura di materiale vario di laboratorio</t>
  </si>
  <si>
    <t>2552.0</t>
  </si>
  <si>
    <t>Fornitura triennale di contenitori latte di massa</t>
  </si>
  <si>
    <t>3 casse pallet complete di accessori</t>
  </si>
  <si>
    <t>00117870154-martini alfredo</t>
  </si>
  <si>
    <t>984.0</t>
  </si>
  <si>
    <t>Fornitura di standards analitici per analisi</t>
  </si>
  <si>
    <t>04052200872-Labochem Science S.r.l.</t>
  </si>
  <si>
    <t>2809.86</t>
  </si>
  <si>
    <t>142.85</t>
  </si>
  <si>
    <t>1708.89</t>
  </si>
  <si>
    <t>2312.51</t>
  </si>
  <si>
    <t>Fornitura biennale di ghiaccio secco per le varie sedi dell'Istituto</t>
  </si>
  <si>
    <t>fornitura di n. 1 microscopio invertito ottico a fluorescenza con telecamera digitale e software</t>
  </si>
  <si>
    <t>UNI ISO 45 001: 2018 unistore</t>
  </si>
  <si>
    <t>47.0</t>
  </si>
  <si>
    <t>oda n. 6883679 per la fornitura di servizio di formazione relativo al software</t>
  </si>
  <si>
    <t>03965190659-blumatica</t>
  </si>
  <si>
    <t>300.0</t>
  </si>
  <si>
    <t>Fornitura annuale di standard NRC-CNRC</t>
  </si>
  <si>
    <t>18534.0</t>
  </si>
  <si>
    <t>4386.0</t>
  </si>
  <si>
    <t>Fornitura annuale di agenti diagnostici Promega</t>
  </si>
  <si>
    <t>12317560154-Promega Italia S.r.l.</t>
  </si>
  <si>
    <t>16099.95</t>
  </si>
  <si>
    <t>1210.6</t>
  </si>
  <si>
    <t>Fornitura di colonne immunoaffinità trembolone/nortestosterone</t>
  </si>
  <si>
    <t>01983270123-Novatech Diagnostici srl</t>
  </si>
  <si>
    <t>750.0</t>
  </si>
  <si>
    <t>Fornitura di kit per colture cellulari</t>
  </si>
  <si>
    <t>1903.39</t>
  </si>
  <si>
    <t>SERVIZI INERENTI I SOFTWARE EUSIS E DIGITGO E MODULI ASSOCIATI, RIGUARDANTE LA GESTIONE DEL SISTEMA AMMINISTRATIVO-CONTABILE DELL'ISTITUTO</t>
  </si>
  <si>
    <t>01944260221-GPI S.P.A.,07830820580-iptsat srl,06188330150-MAGGIOLI SPA,05231661009-R1 SpA,02334550288-Siav Spa</t>
  </si>
  <si>
    <t>01944260221-GPI S.P.A.</t>
  </si>
  <si>
    <t>200000.0</t>
  </si>
  <si>
    <t>inizio 16/01/2023, ultimazione 15/01/2025</t>
  </si>
  <si>
    <t xml:space="preserve">Procedura negoziata senza previa pubblicazione di un bando di gara ex art. 63, comma 2, lett. b), punto 2, del Decreto legislativo 18 aprile 2016, n. 50 per l'affidamento della fornitura annuale di prodotti infungibili Illumina Italy Srl </t>
  </si>
  <si>
    <t>06814140965-Illumina Italy SRL</t>
  </si>
  <si>
    <t>254291.05</t>
  </si>
  <si>
    <t>inizio 03/01/2023, ultimazione 03/01/2024</t>
  </si>
  <si>
    <t>Adesione allaccordo quadro CONSIP Fuel Card 2, Lotto Unico, CIG 8742764516, per la fornitura per 23 mesi di n. 23 Fuel Card per rifornimento di carburante, in favore della ditta ITALIANA PETROLI S.P.A., per un importo presunto di  184.000,00+IVA,</t>
  </si>
  <si>
    <t>00051570893-ITALIANA PETROLI</t>
  </si>
  <si>
    <t>184000.0</t>
  </si>
  <si>
    <t>inizio 01/01/2023, ultimazione 30/11/2024</t>
  </si>
  <si>
    <t xml:space="preserve"> 7089995 n. 4 termomixer comprensivi di n. 6 termoblocchi</t>
  </si>
  <si>
    <t>10767630154-EPPENDORF SRL.</t>
  </si>
  <si>
    <t>14241.6</t>
  </si>
  <si>
    <t>inizio 23/12/2022, ultimazione 23/12/2022</t>
  </si>
  <si>
    <t>oda 7084357 fornitura n. 1 centrifuga refrigerata</t>
  </si>
  <si>
    <t>14466.96</t>
  </si>
  <si>
    <t>35 monitor comprensivi di docking station</t>
  </si>
  <si>
    <t>00305120974-T.T. TECNOSISTEMI SPA SB</t>
  </si>
  <si>
    <t>9065.0</t>
  </si>
  <si>
    <t>inizio 21/12/2022, ultimazione 23/12/2022</t>
  </si>
  <si>
    <t>RDO3194210 Fornitura biennale di etichette termiche adesive per stampante CITIZEN</t>
  </si>
  <si>
    <t>02379641208-Finlogic Spa,13022491008-Ac Sistemi Srl,02229680398-Pluriservice Solutions Srl,08238250586-Ferlabel Srl</t>
  </si>
  <si>
    <t>02229680398-Pluriservice Solutions Srl</t>
  </si>
  <si>
    <t>7500.0</t>
  </si>
  <si>
    <t>inizio 16/12/2022, ultimazione 16/12/2024</t>
  </si>
  <si>
    <t>Affidamento diretto ai sensi dell'art. 1 comma 2 del DL 76/2020 ssmmii previo confronto concorrenziale, del servizio di installazione di un impianto antintrusione con la protezione volumetrica degli ambienti interni al piano terra e primo piano, anche mediante sensori volumetrici</t>
  </si>
  <si>
    <t>VTTNTN42T08E605D-VUOTTO ANTONIO,02144710510-C.S. Group s.r.l.,01860700515-PM Allarmi s.r.l.</t>
  </si>
  <si>
    <t>02144710510-C.S. Group s.r.l.</t>
  </si>
  <si>
    <t>2900.0</t>
  </si>
  <si>
    <t>inizio 13/12/2022</t>
  </si>
  <si>
    <t>Fornitura di strumenti di inseminazione api</t>
  </si>
  <si>
    <t>DE815578390-A&amp;G Wacholtz GBR</t>
  </si>
  <si>
    <t>6607.55</t>
  </si>
  <si>
    <t>inizio 13/12/2022, ultimazione 31/12/2022</t>
  </si>
  <si>
    <t xml:space="preserve">Affidamento diretto in modalità cartacea per la fornitura di una macchina affrancatrice postale, ai sensi dell'art. 36, comma 2, lett. a), del Decreto Legislativo 18 aprile del 2016, n. 50. </t>
  </si>
  <si>
    <t>10495590159-Italiana Audion srl</t>
  </si>
  <si>
    <t>950.0</t>
  </si>
  <si>
    <t>inizio 05/12/2022</t>
  </si>
  <si>
    <t>RDO MEPA n. 3224225 - fornitura di certificazione triennale per l'Ufficio di Staff Formazione, CIG: 943807410E</t>
  </si>
  <si>
    <t>08-AFFIDAMENTO IN ECONOMIA - COTTIMO FIDUCIARIO</t>
  </si>
  <si>
    <t>06205961003-DASA-RAGISTER SPA,11498640157-BUREAU VERITAS ITALIA SPA,08622571001-UNITER SRL,05744050724-ICDQ,02603680246-CSQA CERTIFICAZIONI</t>
  </si>
  <si>
    <t>08622571001-UNITER SRL</t>
  </si>
  <si>
    <t>2387.0</t>
  </si>
  <si>
    <t>inizio 05/12/2022, ultimazione 05/12/2025</t>
  </si>
  <si>
    <t xml:space="preserve">TD3228847 Fornitura di standard per officina farmaceutica </t>
  </si>
  <si>
    <t>3464447OH-CHARLES RIVER MICROBIAL SOLUTIONS INTERNATIONAL LIMITED</t>
  </si>
  <si>
    <t>5872.0</t>
  </si>
  <si>
    <t>inizio 05/12/2022, ultimazione 05/03/2023</t>
  </si>
  <si>
    <t>Fornitura di inchiostro e solvente per dispensatore di terreni in piastre</t>
  </si>
  <si>
    <t>03943830376-SIS.MA SRL</t>
  </si>
  <si>
    <t>1380.28</t>
  </si>
  <si>
    <t>inizio 29/11/2022</t>
  </si>
  <si>
    <t>fornitura n. 1 centrifuga per piastre PCR</t>
  </si>
  <si>
    <t>557.99</t>
  </si>
  <si>
    <t>inizio 28/11/2022</t>
  </si>
  <si>
    <t>fornitura n. 1 centrifuga refrigerata</t>
  </si>
  <si>
    <t>10282490159-THERMO FISHER SCIENTIFIC MILANO s.r.l.</t>
  </si>
  <si>
    <t>9095.95</t>
  </si>
  <si>
    <t>fornitura di arredi vari</t>
  </si>
  <si>
    <t>03222970406-M.y.O S.p.a.</t>
  </si>
  <si>
    <t>10847.03</t>
  </si>
  <si>
    <t>Fornitura biennale kit Elisa di anticorpi anti-Feline Immunodeficienty Virus (FIV) e antigene del virus della Leucemia Felina (FeLV)</t>
  </si>
  <si>
    <t>12000641006-ZOETIS ITALIA SRL,01152200018-AGROLABO SPA</t>
  </si>
  <si>
    <t>3248.0</t>
  </si>
  <si>
    <t>inizio 28/11/2022, ultimazione 28/11/2024</t>
  </si>
  <si>
    <t>fornitura di n. 2 vortex</t>
  </si>
  <si>
    <t>03454090964-JOINTLAB S.R.L.</t>
  </si>
  <si>
    <t>378.0</t>
  </si>
  <si>
    <t>abbonamento annuo con invio trimestrale di n. 2 dosimetri ambiente con controllo per l'anno 2023</t>
  </si>
  <si>
    <t xml:space="preserve">01320740580-Centro Ricerche Enea </t>
  </si>
  <si>
    <t>104.4</t>
  </si>
  <si>
    <t>fornitura di n. 2 bilance tecniche</t>
  </si>
  <si>
    <t>2941.3</t>
  </si>
  <si>
    <t>fornitura di n. 1 casella PEC</t>
  </si>
  <si>
    <t>07945211006-infocert</t>
  </si>
  <si>
    <t>fornitura di arredi per la sala necroscopica</t>
  </si>
  <si>
    <t>02835760642-MOPEC EUROPE SRL</t>
  </si>
  <si>
    <t>4209.46</t>
  </si>
  <si>
    <t>fornitura di n. 10 cestini posacenere</t>
  </si>
  <si>
    <t>2390.0</t>
  </si>
  <si>
    <t>fornitura di n. 3 ultraturrax</t>
  </si>
  <si>
    <t>6300.0</t>
  </si>
  <si>
    <t xml:space="preserve"> FORNITURA DI N. 2 DILUITORI/DISPENSATORI TRAMITE STAZIONE ROBOTICA</t>
  </si>
  <si>
    <t>00875820326-Eurofins Tecna s.r.l.,11276961007-MICRO LAB EQUIPMENT SRL,06397950962-HAMILTON ITALIA,07672391211-HOSMOTIC SRL,09615590156-Tecan Italia srl,09933630155-LEICA MICROSYSTEMS SRL</t>
  </si>
  <si>
    <t>09615590156-Tecan Italia srl</t>
  </si>
  <si>
    <t>140000.0</t>
  </si>
  <si>
    <t>inizio 28/11/2022, ultimazione 28/11/2022</t>
  </si>
  <si>
    <t>fornitura di n. 3 evaporatori ad aghi</t>
  </si>
  <si>
    <t>05160820287-ORION SCIENTIFIC S.R.L.</t>
  </si>
  <si>
    <t>9444.0</t>
  </si>
  <si>
    <t>Affidamento di un servizio di consulenza finalizzato ad effettuare una perizia di valutazione del valoredi mercato di una porzione dellimmobile censito al N.C.E.U fg 983 part. 7 sub 522 di proprietàSorgenti srl, ai sensi del Decreto Legislativo 18 aprile 2016, n. 50, art. 36, comma 2, lett. a) IMPORTO  5.000,00+Inarcassa 4% e IVA 22%- CIG: 9473158947</t>
  </si>
  <si>
    <t>MRTGNN55E30F205M-MARTINAZZOLI GIOVANNI</t>
  </si>
  <si>
    <t>5000.0</t>
  </si>
  <si>
    <t>inizio 22/11/2022</t>
  </si>
  <si>
    <t>Fornitura di terreni di coltura Biolife</t>
  </si>
  <si>
    <t>24094.0</t>
  </si>
  <si>
    <t>inizio 21/11/2022, ultimazione 21/11/2023</t>
  </si>
  <si>
    <t>5077.0</t>
  </si>
  <si>
    <t>Fornitura di terreni di coltura Microbiol</t>
  </si>
  <si>
    <t>01625440928-Microbiol di Sergio Murgia &amp; C. srl</t>
  </si>
  <si>
    <t>6222.79</t>
  </si>
  <si>
    <t>2400.76</t>
  </si>
  <si>
    <t>Fornitura annuale di terreni di coltura Liofilchem</t>
  </si>
  <si>
    <t>00530130673-Liofilchem S.r.l.</t>
  </si>
  <si>
    <t>38481.84</t>
  </si>
  <si>
    <t>24563.22</t>
  </si>
  <si>
    <t>Fornitura di terreni di coltura DID</t>
  </si>
  <si>
    <t>7401.5</t>
  </si>
  <si>
    <t>2332.5</t>
  </si>
  <si>
    <t>Fornitura biennale di indumenti da laboratorio</t>
  </si>
  <si>
    <t>03574480103-INDUTEX SPA</t>
  </si>
  <si>
    <t>27932.3</t>
  </si>
  <si>
    <t>inizio 16/11/2022</t>
  </si>
  <si>
    <t>Rinnovo licenza software Palisade</t>
  </si>
  <si>
    <t>00000000000-Palisade</t>
  </si>
  <si>
    <t>2068.39</t>
  </si>
  <si>
    <t>inizio 15/11/2022, ultimazione 31/12/2022</t>
  </si>
  <si>
    <t xml:space="preserve">Fornitura di terreni di coltura Thermo Fisher Diagnostics </t>
  </si>
  <si>
    <t>00889160156-Thermo Fisher Diagnostics S.p.A.</t>
  </si>
  <si>
    <t>35204.36</t>
  </si>
  <si>
    <t>inizio 14/11/2022, ultimazione 14/11/2023</t>
  </si>
  <si>
    <t>13388.89</t>
  </si>
  <si>
    <t>Acquisto per la UOT Toscana Centro  sede di Firenze, di n. 2 celle frigo e ritiro di n. 1 cella non funzionante, da destinare alla raccolta di carcasse animali,</t>
  </si>
  <si>
    <t xml:space="preserve">01264300490-CO.RE.MAS. POLARIS Italia S.r.l. </t>
  </si>
  <si>
    <t>23400.0</t>
  </si>
  <si>
    <t>inizio 09/11/2022</t>
  </si>
  <si>
    <t>Affidamento del servizio di manutenzione delle aree verdi presso le sedi dell'Istituto nella Regione Toscana della durata di 3 anni</t>
  </si>
  <si>
    <t>04462771009-TECHNICAL SERVICES,15086941000-BEMAR SRL,02747460547-EUROPEAN GLOBAL SERVICE SRL,01487810531-BATISTINI COSTRUZIONI GENERALI SRL,03665840793-Gallo Daniele,07554601000-GE.CO.S. SRL,06813871214-L'arte del Verde di Andrea Maisto Srl unipersonale,06801281004-GEOPAN SRL,00764010484-CFT SOCIETA' COOPERATIVA,01535090474-Consorzio Leonardo Servizi e Lavori Società Cooperativa Consortile Stabile,02432270029-GARDENLAND SRL,04485851002-F.C. Fasolino Costruzioni Srl Unipersonale</t>
  </si>
  <si>
    <t>02747460547-EUROPEAN GLOBAL SERVICE SRL</t>
  </si>
  <si>
    <t>60000.0</t>
  </si>
  <si>
    <t>inizio 09/11/2022, ultimazione 09/11/2025</t>
  </si>
  <si>
    <t>Affidamento della fornitura annuale di prodotti infungibili Oxford Nanopore Technologies LTD</t>
  </si>
  <si>
    <t>33401.84</t>
  </si>
  <si>
    <t>inizio 02/11/2022, ultimazione 01/11/2023</t>
  </si>
  <si>
    <t>Servizio sequenziamento Genscript Biotech</t>
  </si>
  <si>
    <t>00000000000-Genscript Biotech</t>
  </si>
  <si>
    <t>726.23</t>
  </si>
  <si>
    <t>inizio 24/10/2022, ultimazione 31/12/2022</t>
  </si>
  <si>
    <t>399.2</t>
  </si>
  <si>
    <t xml:space="preserve">Fornitura di terreni di coltura Conda </t>
  </si>
  <si>
    <t>ESA28090819-LABORATORIOS CONDA SA</t>
  </si>
  <si>
    <t>10295.77</t>
  </si>
  <si>
    <t>inizio 24/10/2022, ultimazione 05/12/2022</t>
  </si>
  <si>
    <t>5200.47</t>
  </si>
  <si>
    <t>03222390159-DASIT</t>
  </si>
  <si>
    <t>10500.0</t>
  </si>
  <si>
    <t>inizio 17/10/2022, ultimazione 17/10/2025</t>
  </si>
  <si>
    <t>700.0</t>
  </si>
  <si>
    <t>Provette per criogenia</t>
  </si>
  <si>
    <t>05376651005-Bioscientifica,13023610150-Starlab Srl,04042671000-Spaziani Rolando Srl,01870870548-STEROGLASS S.R.L.,07817950152-THERMO FISHER SCIENTIFIC S.P.A.,12864800151-vwr international srl</t>
  </si>
  <si>
    <t>14663.1</t>
  </si>
  <si>
    <t>inizio 11/10/2022, ultimazione 11/10/2025</t>
  </si>
  <si>
    <t>Fornitura triennale di micropipette manuali ed elettroniche da laboratorio</t>
  </si>
  <si>
    <t>10767630154-EPPENDORF SRL.,02829240155-GILSON ITALIA,01086690581-S.I.A.L. SRL</t>
  </si>
  <si>
    <t>120755.0</t>
  </si>
  <si>
    <t>inizio 07/10/2022, ultimazione 06/10/2025</t>
  </si>
  <si>
    <t xml:space="preserve">Fornitura di carta naturale per fotocopie A4 80gr </t>
  </si>
  <si>
    <t>03675290286-OFFICE DEPOT ITALIA SRL,12467671009-MV Medical srl,04427081007-ECO LASER INFORMATICA SRL,03222970406-M.y.O S.p.a.,08397890586-ERREBIAN,12032011004-SECLAN SRL</t>
  </si>
  <si>
    <t>03675290286-OFFICE DEPOT ITALIA SRL</t>
  </si>
  <si>
    <t>4100.0</t>
  </si>
  <si>
    <t>inizio 04/10/2022, ultimazione 22/12/2022</t>
  </si>
  <si>
    <t>1968.0</t>
  </si>
  <si>
    <t>RDO MEPA n. 2979150, ai sensi dellart. 36, comma 2, lett. b), del Decreto Legislativo 18 aprile 2016, n. 50, per l'affidamento del servizio di lavanolo di abiti da lavoro per anni 4</t>
  </si>
  <si>
    <t>05410140650-CESAF,03116010616-CONTEK SRL,00771530151-ALSCO ITALIA SRL,09250391001-AGAR SERVICE SRL,03140750633-C.M.S. CENTRO MERIDIONALE SICUREZZA</t>
  </si>
  <si>
    <t>00771530151-ALSCO ITALIA SRL</t>
  </si>
  <si>
    <t>158674.16</t>
  </si>
  <si>
    <t>inizio 01/10/2022, ultimazione 30/09/2026</t>
  </si>
  <si>
    <t>RDO3020031-Fornitura biennale scatole in plastica varia tipologia</t>
  </si>
  <si>
    <t>13023610150-Starlab Srl,05376651005-Bioscientifica,00195980289-Artiglass srl,00278110929-Bodanchimica,02173800281-Biosigma,00805390283-LABOINDUSTRIA S.p.A.,12864800151-vwr international srl</t>
  </si>
  <si>
    <t>21020.1</t>
  </si>
  <si>
    <t>inizio 30/09/2022, ultimazione 30/09/2024</t>
  </si>
  <si>
    <t>778.3</t>
  </si>
  <si>
    <t>Fornitura triennale di colonnine Waters</t>
  </si>
  <si>
    <t>04742591003-WATERS SPA</t>
  </si>
  <si>
    <t>4531.2</t>
  </si>
  <si>
    <t>inizio 29/09/2022, ultimazione 29/09/2025</t>
  </si>
  <si>
    <t>2361.8</t>
  </si>
  <si>
    <t>Affidamento diretto per la fornitura dellassistenza e manutenzione triennale del software Bocconi Avvelenati in favore della ditta SIGNO MOTUS S.r.l., ai sensi dellart. 36, comma 2, lett. a), del Decreto Legislativo 18 aprile 2016, n. 50</t>
  </si>
  <si>
    <t>01865710832-Signo Motus S.r.l.</t>
  </si>
  <si>
    <t>4800.0</t>
  </si>
  <si>
    <t>inizio 28/09/2022</t>
  </si>
  <si>
    <t>esecuzione biennale con opzione di rinnovo annuale dei lavori di manutenzione degli impianti elettrici, termici ed idrici di proprietà o in uso all'IZSLT, da eseguirsi nelle Regioni Lazio e Toscana, ai sensi dell'art. 1, comma 2, lettera b, Legge 120/2020  Importo totale   720.000,00 IVA esclusa  CIG 9156196BF5</t>
  </si>
  <si>
    <t>VTTNTN42T08E605D-VUOTTO ANTONIO,11741841008-Edil S&amp;P Roma,08632181213-DEA SRL,04127270157-SOL SpA,05694791210-LI.RI. COSTRUZIONI S.R.L.</t>
  </si>
  <si>
    <t>VTTNTN42T08E605D-VUOTTO ANTONIO</t>
  </si>
  <si>
    <t>627840.0</t>
  </si>
  <si>
    <t>inizio 27/09/2022, ultimazione 27/09/2024</t>
  </si>
  <si>
    <t>fornitura di n. 1 microscopio ottico</t>
  </si>
  <si>
    <t>02141500187-tiesselab</t>
  </si>
  <si>
    <t>7000.0</t>
  </si>
  <si>
    <t>inizio 26/09/2022</t>
  </si>
  <si>
    <t>Fornitura annuale di prodotti Merck</t>
  </si>
  <si>
    <t>13059.69</t>
  </si>
  <si>
    <t>inizio 26/09/2022, ultimazione 26/09/2023</t>
  </si>
  <si>
    <t>5937.83</t>
  </si>
  <si>
    <t>fornitura di webservice e rinnovo licenze annuale e-learning</t>
  </si>
  <si>
    <t>06113301003-mediatouch 2000</t>
  </si>
  <si>
    <t>10180.0</t>
  </si>
  <si>
    <t>Fornitura di siero ed antigene Morva</t>
  </si>
  <si>
    <t>DE267912142-C-C.PRO</t>
  </si>
  <si>
    <t>1088.5</t>
  </si>
  <si>
    <t>inizio 26/09/2022, ultimazione 31/12/2022</t>
  </si>
  <si>
    <t>1118.5</t>
  </si>
  <si>
    <t>Fornitura annuale di kit New England Biolabs</t>
  </si>
  <si>
    <t>08126390155-EUROCLONE SPA</t>
  </si>
  <si>
    <t>38178.6</t>
  </si>
  <si>
    <t>11747.85</t>
  </si>
  <si>
    <t>Fornitura di kit Catachem</t>
  </si>
  <si>
    <t>ESB67076240-Medical Service 2000 SL</t>
  </si>
  <si>
    <t>680.0</t>
  </si>
  <si>
    <t>inizio 26/09/2022, ultimazione 26/09/2022</t>
  </si>
  <si>
    <t>fornitura di attrezzatura video</t>
  </si>
  <si>
    <t xml:space="preserve">06978581004-elettroservizi </t>
  </si>
  <si>
    <t>2238.0</t>
  </si>
  <si>
    <t>Fornitura di sieri antirabbia FITC</t>
  </si>
  <si>
    <t>00000000000-Microtest</t>
  </si>
  <si>
    <t>6120.0</t>
  </si>
  <si>
    <t>6270.0</t>
  </si>
  <si>
    <t>fornitura di n. 3 omogeneizzatori a pale rotanti</t>
  </si>
  <si>
    <t>03428060168-VERDER SCIENTIFIC SRL</t>
  </si>
  <si>
    <t>Fornitura di n. 1 liofilizzatore, TD 3110491</t>
  </si>
  <si>
    <t>05908410961-ANALYTICAL CONTROL DE MORI SRL CON SOCIO UNICO</t>
  </si>
  <si>
    <t>17000.0</t>
  </si>
  <si>
    <t>16505.0</t>
  </si>
  <si>
    <t>Fornitura triennale soluzioni tamponi standard certificate per pH-metro</t>
  </si>
  <si>
    <t>13209130155-Merck Life Science S.r.l.,04211270287-HANNA INSTRUMENTS ITALIA SRL A SOCIO UNICO,01086690581-S.I.A.L. SRL,01022690364-EXACTA+OPTECH Labcenter S.p.A.,01739430476-BIOCLASS SRL,00718330152-Mettler Toledo spa</t>
  </si>
  <si>
    <t>5862.51</t>
  </si>
  <si>
    <t>inizio 23/09/2022, ultimazione 23/09/2025</t>
  </si>
  <si>
    <t>191.37</t>
  </si>
  <si>
    <t>Fornitura biennale prodotti per lavaggio manuale e automatico vetreria e utensili da laboratorio</t>
  </si>
  <si>
    <t>12864800151-vwr international srl,01022690364-EXACTA+OPTECH Labcenter S.p.A.,12467671009-MV Medical srl,05626031008-SP MED SRL</t>
  </si>
  <si>
    <t>05626031008-SP MED SRL</t>
  </si>
  <si>
    <t>7635.5</t>
  </si>
  <si>
    <t>inizio 23/09/2022, ultimazione 23/09/2024</t>
  </si>
  <si>
    <t>1041.0</t>
  </si>
  <si>
    <t>Micropiastre e strip PCR</t>
  </si>
  <si>
    <t>01086690581-S.I.A.L. SRL,12792100153-LIFE TECHNOLOGIES ITALIA FIL. LIFE TECHNOLOGIES EUROPE BV,05158401009-RESNOVASRL,13110270157-Qiagen,05376651005-Bioscientifica,13209130155-Merck Life Science S.r.l.,12864800151-vwr international srl,10767630154-EPPENDORF SRL.,02173800281-Biosigma</t>
  </si>
  <si>
    <t>17504.0</t>
  </si>
  <si>
    <t>inizio 20/09/2022, ultimazione 20/09/2024</t>
  </si>
  <si>
    <t>Uvette e microprovette</t>
  </si>
  <si>
    <t>02173800281-Biosigma,13209130155-Merck Life Science S.r.l.,01086690581-S.I.A.L. SRL,13110270157-Qiagen,12792100153-LIFE TECHNOLOGIES ITALIA FIL. LIFE TECHNOLOGIES EUROPE BV,05158401009-RESNOVASRL,05376651005-Bioscientifica,12864800151-vwr international srl,10767630154-EPPENDORF SRL.</t>
  </si>
  <si>
    <t>3746.56</t>
  </si>
  <si>
    <t>735.98</t>
  </si>
  <si>
    <t>Fornitura biennale contenitori con formalina diversi formati</t>
  </si>
  <si>
    <t>01794050151-LP ITALIANA,06815091001-Securlab srl,02367210735-MEDVET S.r.l.,01857820284-CLINI-LAB SRL,12864800151-vwr international srl,00805390283-LABOINDUSTRIA S.p.A.,02705540165-Diapath S.p.A.</t>
  </si>
  <si>
    <t>26900.0</t>
  </si>
  <si>
    <t>Prodotti per estrazione e purificazione acidi nucleici</t>
  </si>
  <si>
    <t>01086690581-S.I.A.L. SRL,13110270157-Qiagen,05158401009-RESNOVASRL,05376651005-Bioscientifica,10767630154-EPPENDORF SRL.,12864800151-vwr international srl,02173800281-Biosigma,12792100153-LIFE TECHNOLOGIES ITALIA FIL. LIFE TECHNOLOGIES EUROPE BV,13209130155-Merck Life Science S.r.l.</t>
  </si>
  <si>
    <t>6624.48</t>
  </si>
  <si>
    <t>976.8</t>
  </si>
  <si>
    <t>RDO3034740 - Fornitura di ditali di estrazione in fibra di vetro e in cellulosa</t>
  </si>
  <si>
    <t>00970300430-CHIMICA CENTRO SNC DI EMILIANO VERDENELLI E C.,01022690364-EXACTA+OPTECH Labcenter S.p.A.,12864800151-vwr international srl,04527990875-BIOGENERICA SRL,03587930722-LEVANCHIMICA S.R.L.,00223930280-VETROTECNICA,01802940484-CARLO ERBA REAGENTS SRL</t>
  </si>
  <si>
    <t>17516.0</t>
  </si>
  <si>
    <t>inizio 19/09/2022, ultimazione 19/09/2024</t>
  </si>
  <si>
    <t xml:space="preserve">esecuzione biennale con opzione di rinnovo annuale dei lavori di manutenzione edile degli edifici, compresi degli impianti di depurazione, di proprietà o in uso all'IZSLT, da eseguirsi nelle Regioni Lazio e Toscana, ai sensi dell'art. 1, comma 2, lettera b, Legge 120/2020  Importo totale    720.000,00 IVA esclusa  CIG 915603571A </t>
  </si>
  <si>
    <t>02275670590-EDILIO s.r.l.,07938891004-SAN MARCO SRL,BUAMRZ69T16F892C-Costruzioni Generali Edili e Stradali di Bua Maurizio,10676751000-BPB COSTRUZIONI SRL,11741841008-Edil S&amp;P Roma</t>
  </si>
  <si>
    <t>11741841008-Edil S&amp;P Roma</t>
  </si>
  <si>
    <t>646344.0</t>
  </si>
  <si>
    <t>Fornitura detergenti lavaggio vetreria</t>
  </si>
  <si>
    <t>12467671009-MV Medical srl</t>
  </si>
  <si>
    <t>2485.9</t>
  </si>
  <si>
    <t>inizio 19/09/2022, ultimazione 19/09/2023</t>
  </si>
  <si>
    <t>1354.5</t>
  </si>
  <si>
    <t xml:space="preserve">Fornitura triennale di Eradikit </t>
  </si>
  <si>
    <t>10842130014-IN3DIAGNOSTIC SRL</t>
  </si>
  <si>
    <t>14327.6</t>
  </si>
  <si>
    <t>inizio 12/09/2022, ultimazione 12/09/2025</t>
  </si>
  <si>
    <t>7163.8</t>
  </si>
  <si>
    <t>Fornitura biennale di colonnine immunoaffinità e kit per la ricerca di allergeni e degli zuccheri nel miele</t>
  </si>
  <si>
    <t>03642300960-R-BIOPHARM ITALIA S.R.L.</t>
  </si>
  <si>
    <t>45823.96</t>
  </si>
  <si>
    <t>inizio 08/09/2022, ultimazione 07/09/2024</t>
  </si>
  <si>
    <t>5447.4</t>
  </si>
  <si>
    <t>Fornitura triennale di reagenti per anaerobiosi</t>
  </si>
  <si>
    <t>37592.34</t>
  </si>
  <si>
    <t>inizio 05/09/2022, ultimazione 05/09/2025</t>
  </si>
  <si>
    <t>3220.66</t>
  </si>
  <si>
    <t>RDO MEPA N.  3031977 PER LACQUISIZIONE PER N. 6 MESI DEL SERVIZIO DI DIGITALIZZAZIONE DEI FASCICOLI DEL PERSONALE E LACQUISIZIONE DI N. 50 GIORNATE DI LAVORO PER IL SERVIZIO DI ASSISTENZA TECNICA CONSULENZIALE, ARCHIVISTICA E NORMATIVA SULLA PIATTAFORMA ARCHIFLOW IN SAAS, EX DECRETO LEGISLATIVO 18 APRILE 2016, N. 50, ART. 36, COMMA 2, LETTERA B), IMPORTO COMPLESSIVO PRESUNTO  80.000,00 IVA ESCLUSA, CIG:92456897EC</t>
  </si>
  <si>
    <t>06188330150-MAGGIOLI SPA,02334550288-Siav Spa,05231661009-R1 SpA</t>
  </si>
  <si>
    <t>02334550288-Siav Spa</t>
  </si>
  <si>
    <t>79860.0</t>
  </si>
  <si>
    <t>inizio 01/09/2022, ultimazione 28/02/2023</t>
  </si>
  <si>
    <t>44166.0</t>
  </si>
  <si>
    <t>GARA TELEMATICA [G01745] Affidamento del servizio di bonifica mediante la rimozione di lastre in cemento-amianto ai sensi dell'art 36, comma 2, lett. a), del Decreto Legislativo 18 aprile 2016, n. 50, per un importo presunto pari ad  10.000,00 + IVA  CIG 9299574B3A</t>
  </si>
  <si>
    <t>01238680563-Econet srl Unipersonale,07969131007-Gestioni Ambientali Srl,03937030611-Ever Power srl,06519831009-ZUCCHET ALDO SRL</t>
  </si>
  <si>
    <t>06519831009-ZUCCHET ALDO SRL</t>
  </si>
  <si>
    <t>9000.0</t>
  </si>
  <si>
    <t>inizio 31/08/2022, ultimazione 31/12/2022</t>
  </si>
  <si>
    <t xml:space="preserve"> Fornitura biennale di reagenti per AIE Immunoblotting</t>
  </si>
  <si>
    <t>00801720152-BIO - RAD LABORATORIES  SRL</t>
  </si>
  <si>
    <t>2784.28</t>
  </si>
  <si>
    <t>inizio 01/08/2022, ultimazione 01/08/2024</t>
  </si>
  <si>
    <t>59.31</t>
  </si>
  <si>
    <t>Fornitura biennale di Immunoplates Maxisorp nunc</t>
  </si>
  <si>
    <t>7941.36</t>
  </si>
  <si>
    <t>4715.74</t>
  </si>
  <si>
    <t>Fornitura di linea cellulare ATCC T47D- Kbluc</t>
  </si>
  <si>
    <t>685.0</t>
  </si>
  <si>
    <t>inizio 01/08/2022, ultimazione 01/08/2022</t>
  </si>
  <si>
    <t>Fornitura annuale di Agencourt AMPure XP</t>
  </si>
  <si>
    <t>04185110154-Beckman Coulter S.r.l.</t>
  </si>
  <si>
    <t>15088.54</t>
  </si>
  <si>
    <t>inizio 29/07/2022, ultimazione 29/07/2023</t>
  </si>
  <si>
    <t>Fornitura di agenti diagnostici Santa Cruz</t>
  </si>
  <si>
    <t>07484470153-DBA ITALIA SRL</t>
  </si>
  <si>
    <t>2117.0</t>
  </si>
  <si>
    <t>inizio 28/07/2022, ultimazione 17/10/2022</t>
  </si>
  <si>
    <t>2023.0</t>
  </si>
  <si>
    <t>Fornitura di puntali Rainin LTS 20ul</t>
  </si>
  <si>
    <t>15600.0</t>
  </si>
  <si>
    <t>inizio 26/07/2022, ultimazione 26/07/2022</t>
  </si>
  <si>
    <t xml:space="preserve">Procedura ai sensi dellart. 36, comma 2, lett. b), del d. lgs.  50/2016 per la fornitura triennale di terreno pronto in piastra columbia agar sangue + 5% di sangue di montone </t>
  </si>
  <si>
    <t>05150990280-BIOGENETICS DIAGNOSTICS S.R.L.,01857820284-CLINI-LAB SRL,05688870483-A. MENARINI DIAGNOSTICS SRL,01739430476-BIOCLASS SRL,03898780378-TEMA RICERCA SRL,10990420969-altona Diagnostics Italia Srl,08126390155-EUROCLONE SPA,143/101/23316-Meter Group AG,09580650159-NEOMED SRL,03680250283-EUROIMMUN ITALIA S.R.L. CON SOCIO UNICO,12032450152-Idexx Laboratories Italia srl,ESA28090819-LABORATORIOS CONDA SA,00875820326-Eurofins Tecna s.r.l.,01625440928-Microbiol di Sergio Murgia &amp; C. srl,04720000159-NOVA CHIMICA S.R.L.,07246691005-Servizi Diagnostici S.r.l.,13110270157-Qiagen,07146020586-Biomerieux Italia Spa,12864800151-vwr international srl,05632311212-M&amp;M Biotech S.c.ar.l,07672391211-HOSMOTIC SRL,05748910485-SARTORIUS ITALY SRL,01794050151-LP ITALIANA,12792100153-LIFE TECHNOLOGIES ITALIA FIL. LIFE TECHNOLOGIES EUROPE BV</t>
  </si>
  <si>
    <t>116100.0</t>
  </si>
  <si>
    <t>inizio 25/07/2022, ultimazione 25/07/2025</t>
  </si>
  <si>
    <t>5693.2</t>
  </si>
  <si>
    <t>fornitura di n. 2 qiaxcel td 2059953</t>
  </si>
  <si>
    <t>37998.0</t>
  </si>
  <si>
    <t>inizio 22/07/2022, ultimazione 22/07/2022</t>
  </si>
  <si>
    <t>18999.0</t>
  </si>
  <si>
    <t>Fornitura di kit realstar CCHFV RT-PCR</t>
  </si>
  <si>
    <t>10990420969-altona Diagnostics Italia Srl</t>
  </si>
  <si>
    <t>4784.82</t>
  </si>
  <si>
    <t>Fornitura di kit e materiali Qiagen</t>
  </si>
  <si>
    <t>16000.0</t>
  </si>
  <si>
    <t>Fornitura biennale solventi per la determinazione di microinquinanti in alimenti e mangimi</t>
  </si>
  <si>
    <t>01802940484-CARLO ERBA REAGENTS SRL,05515521002-chemical research 2000,12864800151-vwr international srl,00391470580-Chebios,01022690364-EXACTA+OPTECH Labcenter S.p.A.,13209130155-Merck Life Science S.r.l.,12785290151-Agilent Technologies Italia S.p.A.,04720000159-NOVA CHIMICA S.R.L.</t>
  </si>
  <si>
    <t>20151.78</t>
  </si>
  <si>
    <t>inizio 22/07/2022, ultimazione 22/07/2024</t>
  </si>
  <si>
    <t>38.76</t>
  </si>
  <si>
    <t>Fornitura di soluzioni tampone e piccola attrezzatura di lab</t>
  </si>
  <si>
    <t>01739430476-BIOCLASS SRL</t>
  </si>
  <si>
    <t>2467.0</t>
  </si>
  <si>
    <t>inizio 22/07/2022, ultimazione 17/08/2022</t>
  </si>
  <si>
    <t>2548.47</t>
  </si>
  <si>
    <t>Fornitura biennale contenitori con formalina da 30 ml</t>
  </si>
  <si>
    <t>06754140157-BIO-OPTICA MILANO SPA</t>
  </si>
  <si>
    <t>5280.0</t>
  </si>
  <si>
    <t>inizio 19/07/2022, ultimazione 19/07/2024</t>
  </si>
  <si>
    <t>Fornitura biennale prodotto per isolamento cellulare</t>
  </si>
  <si>
    <t>03784450961-Voden Medical Instruments</t>
  </si>
  <si>
    <t>7182.0</t>
  </si>
  <si>
    <t>inizio 14/07/2022, ultimazione 14/07/2024</t>
  </si>
  <si>
    <t>1197.0</t>
  </si>
  <si>
    <t>Fornitura biennale di bobine e rotoli carta asciugamani</t>
  </si>
  <si>
    <t>04427081007-ECO LASER INFORMATICA SRL,12467671009-MV Medical srl,03675290286-OFFICE DEPOT ITALIA SRL,03222970406-M.y.O S.p.a.</t>
  </si>
  <si>
    <t>11964.8</t>
  </si>
  <si>
    <t>3188.4</t>
  </si>
  <si>
    <t>Fornitura triennale siero di topo liofilizzato</t>
  </si>
  <si>
    <t>08860270969-PRODOTTI GIANNI SRL,12792100153-LIFE TECHNOLOGIES ITALIA FIL. LIFE TECHNOLOGIES EUROPE BV,13209130155-Merck Life Science S.r.l.</t>
  </si>
  <si>
    <t>6630.0</t>
  </si>
  <si>
    <t>inizio 14/07/2022, ultimazione 14/07/2025</t>
  </si>
  <si>
    <t>170.0</t>
  </si>
  <si>
    <t xml:space="preserve">PROCEDURA DI GARA AI SENSI DELL'ART 36 COMMA 2, LETT. B) DEL DECRETO LEGISLATIVO 18 APRILE 2016, N. 50 PER L'AFFIDAMENTO DEL SERVIZIO DI TRASPORTO NAZIONALE PER VARIE TIPOLOGIE DI CAMPIONI E MATERIALI PER ANNI 3 </t>
  </si>
  <si>
    <t>07521940721-ECO TRANSFER SRL,01535090474-Consorzio Leonardo Servizi e Lavori Società Cooperativa Consortile Stabile,11276961007-MICRO LAB EQUIPMENT SRL,04127270157-SOL SpA,03893361000-TRA.SER</t>
  </si>
  <si>
    <t>94500.0</t>
  </si>
  <si>
    <t>inizio 30/06/2022, ultimazione 30/06/2025</t>
  </si>
  <si>
    <t>5350.0</t>
  </si>
  <si>
    <t>Affidamento del servizio di raccolta, trasporto e smaltimento, secondo la normativa vigente, dei rifiuti derivanti da attività sanitarie per le sedi del Lazio e dei S.O.A. prodotti in tutte le sedi dell'Istituto, per n. 16 mesi</t>
  </si>
  <si>
    <t>07521940721-ECO TRANSFER SRL,11324801007-Italia Solutions,03033240106-ECO ERIDANIA SPA,00801790585-Romana Maceri,CRNRCC64P20F537Z-Cirianni Rocco</t>
  </si>
  <si>
    <t>03033240106-ECO ERIDANIA SPA</t>
  </si>
  <si>
    <t>198125.46</t>
  </si>
  <si>
    <t>inizio 24/06/2022, ultimazione 24/10/2023</t>
  </si>
  <si>
    <t>31686.63</t>
  </si>
  <si>
    <t>Fornitura di arredi vari da laboratorio</t>
  </si>
  <si>
    <t>39896.01</t>
  </si>
  <si>
    <t>inizio 10/06/2022, ultimazione 10/06/2022</t>
  </si>
  <si>
    <t>16817.09</t>
  </si>
  <si>
    <t xml:space="preserve">Affidamento in concessione del servizio di installazione e gestione di distributori automatici di bevande calde e fredde ed alimenti solidi presso la sede di Roma dell'Istituto per anni 3 </t>
  </si>
  <si>
    <t>00060700689-SOGEDAI SPA,04962121002-GE.SE.R. SRL,03792180980-Acquaviva SpA società benefit,03320270162-IVS ITALIA SPA</t>
  </si>
  <si>
    <t>03320270162-IVS ITALIA SPA</t>
  </si>
  <si>
    <t>22001.0</t>
  </si>
  <si>
    <t>inizio 01/06/2022, ultimazione 01/06/2025</t>
  </si>
  <si>
    <t>Distillatore Kieldhal</t>
  </si>
  <si>
    <t>05102470159-Emme 3 Srl</t>
  </si>
  <si>
    <t>31588.1</t>
  </si>
  <si>
    <t>inizio 26/05/2022, ultimazione 26/05/2022</t>
  </si>
  <si>
    <t>plotter</t>
  </si>
  <si>
    <t>01486330309-Dps Informatica</t>
  </si>
  <si>
    <t>1389.97</t>
  </si>
  <si>
    <t xml:space="preserve"> n. 2 termosaldatrice</t>
  </si>
  <si>
    <t>01040690156 -PLASTI FOR MOBIL</t>
  </si>
  <si>
    <t>1150.0</t>
  </si>
  <si>
    <t>2300.0</t>
  </si>
  <si>
    <t>Affidamento in concessione del servizio di installazione e gestione di distributori automatici di bevande calde e fredde ed alimenti solidi presso la sede di Firenze dell'Istituto per anni 3</t>
  </si>
  <si>
    <t>00060700689-SOGEDAI SPA,04962121002-GE.SE.R. SRL,03320270162-IVS ITALIA SPA,03792180980-Acquaviva SpA società benefit</t>
  </si>
  <si>
    <t>1201.0</t>
  </si>
  <si>
    <t>inizio 18/05/2022, ultimazione 18/05/2025</t>
  </si>
  <si>
    <t>Affidamento in concessione del servizio di installazione e gestione di distributori automatici di bevande calde e fredde ed alimenti solidi presso la sede di Grosseto e dell'Istituto per anni 3</t>
  </si>
  <si>
    <t xml:space="preserve">Affidamento in concessione del servizio di installazione e gestione di distributori automatici di bevande calde e fredde ed alimenti solidi presso la sede di Viterbo dell'Istituto per anni 3 </t>
  </si>
  <si>
    <t xml:space="preserve">Affidamento in concessione del servizio di installazione e gestione di distributori automatici di bevande calde e fredde ed alimenti solidi presso la sede di Arezzo dell'Istituto per anni 3 </t>
  </si>
  <si>
    <t xml:space="preserve">Affidamento in concessione del servizio di installazione e gestione di distributori automatici di bevande calde e fredde ed alimenti solidi presso la sede di Latina dell'Istituto per anni 3 </t>
  </si>
  <si>
    <t>Affidamento in concessione del servizio di installazione e gestione di distributori automatici di bevande calde e fredde ed alimenti solidi presso la sede di Pisa dell'Istituto per anni 3</t>
  </si>
  <si>
    <t>04962121002-GE.SE.R. SRL,00060700689-SOGEDAI SPA,03320270162-IVS ITALIA SPA,03792180980-Acquaviva SpA società benefit</t>
  </si>
  <si>
    <t>2001.0</t>
  </si>
  <si>
    <t>n. 2 lavavetrerie</t>
  </si>
  <si>
    <t>inizio 12/05/2022, ultimazione 12/05/2022</t>
  </si>
  <si>
    <t>22692.0</t>
  </si>
  <si>
    <t>Fornitura di guanti chirurgici da laboratorio DPI 3a Cat.</t>
  </si>
  <si>
    <t>04437501002-unimed scientifica s.r.l.,01739430476-BIOCLASS SRL,02518990284-CHEMIL SRL,03574480103-INDUTEX SPA,05376651005-Bioscientifica,01857820284-CLINI-LAB SRL,01195060593-SANIFARM</t>
  </si>
  <si>
    <t>01857820284-CLINI-LAB SRL</t>
  </si>
  <si>
    <t>23700.0</t>
  </si>
  <si>
    <t>inizio 11/05/2022</t>
  </si>
  <si>
    <t>6345.0</t>
  </si>
  <si>
    <t xml:space="preserve">Fornitura annuale Materiali di Riferimento di micotossine native in soluzione </t>
  </si>
  <si>
    <t>12792100153-LIFE TECHNOLOGIES ITALIA FIL. LIFE TECHNOLOGIES EUROPE BV,03642300960-R-BIOPHARM ITALIA S.R.L.,139/1664-Romer Labs Diagnostic GmbH,04052200872-Labochem Science S.r.l.,03948960962-LGC Standards S.r.L.,03442910372-LabService Analytica,03176570723-LAB INSTRUMENTS S.R.L.,13209130155-Merck Life Science S.r.l.</t>
  </si>
  <si>
    <t>03176570723-LAB INSTRUMENTS S.R.L.</t>
  </si>
  <si>
    <t>8250.0</t>
  </si>
  <si>
    <t>inizio 09/05/2022, ultimazione 09/05/2023</t>
  </si>
  <si>
    <t>2790.0</t>
  </si>
  <si>
    <t>Fornitura annuale di di materiale di consumo per Strumento QX200 Droplet digital</t>
  </si>
  <si>
    <t>34632.36</t>
  </si>
  <si>
    <t>inizio 29/04/2022, ultimazione 29/04/2023</t>
  </si>
  <si>
    <t>246.33</t>
  </si>
  <si>
    <t>RDO2923135 Fornitura triennale di aghi, provette e portaprovette per prelievo ematico</t>
  </si>
  <si>
    <t>13023610150-Starlab Srl,DGVGLI72A25A944G-DI GIOVANNI S.r.l.,02173800281-Biosigma</t>
  </si>
  <si>
    <t>11218.77</t>
  </si>
  <si>
    <t>inizio 26/04/2022, ultimazione 26/04/2025</t>
  </si>
  <si>
    <t>987.0</t>
  </si>
  <si>
    <t>Solventi per LC-MS</t>
  </si>
  <si>
    <t>05515521002-chemical research 2000,12864800151-vwr international srl,12785290151-Agilent Technologies Italia S.p.A.,03442910372-LabService Analytica,02791720960-Li StarFish,03176570723-LAB INSTRUMENTS S.R.L.,04720000159-NOVA CHIMICA S.R.L.,13209130155-Merck Life Science S.r.l.,00391470580-Chebios,01802940484-CARLO ERBA REAGENTS SRL</t>
  </si>
  <si>
    <t>4645.0</t>
  </si>
  <si>
    <t>inizio 11/04/2022, ultimazione 11/04/2024</t>
  </si>
  <si>
    <t>429.0</t>
  </si>
  <si>
    <t>n. 1 sterilizzatore di coltelli e n. 2 setacci</t>
  </si>
  <si>
    <t>04566840874-DINA PROFESSIONAL S.r.l.</t>
  </si>
  <si>
    <t>305.08</t>
  </si>
  <si>
    <t>inizio 30/03/2022, ultimazione 30/03/2022</t>
  </si>
  <si>
    <t>Fornitura di n. 20 Hard Disk da 2.4 TB</t>
  </si>
  <si>
    <t>01193630520-STUDIO DI INFORMATICA SNC</t>
  </si>
  <si>
    <t>4990.0</t>
  </si>
  <si>
    <t>4940.0</t>
  </si>
  <si>
    <t>1 separatore magnetico</t>
  </si>
  <si>
    <t>467.16</t>
  </si>
  <si>
    <t>N. 2 MACCHINE FOTOGRAFICHE</t>
  </si>
  <si>
    <t>15462611003-TEKNOIT</t>
  </si>
  <si>
    <t>1236.0</t>
  </si>
  <si>
    <t>1 densitometro</t>
  </si>
  <si>
    <t>512.4</t>
  </si>
  <si>
    <t>N. 2 BILANCE</t>
  </si>
  <si>
    <t>10032.0</t>
  </si>
  <si>
    <t xml:space="preserve">rinnovo canone Archiflow in Saas </t>
  </si>
  <si>
    <t>18620.0</t>
  </si>
  <si>
    <t>Fornitura annuale di kit IC bovino Caprino e Bufalino ZEU</t>
  </si>
  <si>
    <t>1860.0</t>
  </si>
  <si>
    <t>inizio 29/03/2022, ultimazione 29/03/2023</t>
  </si>
  <si>
    <t>320.0</t>
  </si>
  <si>
    <t>Affidamento diretto ai sensi dell'art. 1 comma 2 DL 76/2020 per come modificato dal DL 77/2021 dei lavori di manutenzione ordinaria e straordinaria degli impinati elettrici, termici ed idrici</t>
  </si>
  <si>
    <t>03935741003-BIAGIOLI SRL</t>
  </si>
  <si>
    <t>145000.0</t>
  </si>
  <si>
    <t>38547.11</t>
  </si>
  <si>
    <t>Affidamento diretto ai sensi dell'art. 1 comma 2 DL 76/2020 per come modificato dal DL 77/2021 dei lavori di manutenzione ordinaria e straordinaria  degli edifici e degli impinati di depurazione di proprietà o in uso dell'Istituto Zooprofilattico Sperimentale del Lazio e della Toscana</t>
  </si>
  <si>
    <t>08247460580-DI CASTRO SOC COOP</t>
  </si>
  <si>
    <t>136718.34</t>
  </si>
  <si>
    <t>RDO2885491 Fornitura di lame monouso per microtomo semiautomatico</t>
  </si>
  <si>
    <t>08948430965-FISHER SCIENTIFIC SAS,02705540165-Diapath S.p.A.,12864800151-vwr international srl,06754140157-BIO-OPTICA MILANO SPA</t>
  </si>
  <si>
    <t>02705540165-Diapath S.p.A.</t>
  </si>
  <si>
    <t>3738.0</t>
  </si>
  <si>
    <t>inizio 21/03/2022, ultimazione 21/03/2023</t>
  </si>
  <si>
    <t>356.0</t>
  </si>
  <si>
    <t>Lotto 1: n. 4 cappe da banco per PCR</t>
  </si>
  <si>
    <t>01802940484-CARLO ERBA REAGENTS SRL,05376651005-Bioscientifica,01739430476-BIOCLASS SRL</t>
  </si>
  <si>
    <t>6720.0</t>
  </si>
  <si>
    <t>inizio 19/03/2022, ultimazione 19/03/2022</t>
  </si>
  <si>
    <t>Lotto 2: n. 2 cappe da banco a Flusso Laminare Verticale</t>
  </si>
  <si>
    <t>01802940484-CARLO ERBA REAGENTS SRL</t>
  </si>
  <si>
    <t>5051.72</t>
  </si>
  <si>
    <t>Fornitura annuale di colonnine Restek</t>
  </si>
  <si>
    <t>1225.62</t>
  </si>
  <si>
    <t>inizio 18/03/2022, ultimazione 18/03/2023</t>
  </si>
  <si>
    <t>1099.68</t>
  </si>
  <si>
    <t>Acquisizione del kit Bosphore Novel Coronavirus (2019-nCoV) Detection Kit_v4, Amplificazione Gene E, Orf1ab, N, endogenous control e del kit BosphoreEX-Tract Dry Swab RNA Solution dalla ditta Anatolia Geneworks</t>
  </si>
  <si>
    <t>147576.0</t>
  </si>
  <si>
    <t>inizio 15/03/2022, ultimazione 04/04/2022</t>
  </si>
  <si>
    <t>143985.0</t>
  </si>
  <si>
    <t>Fornitura per anni 4 di colonnine Solid Phase Extraction (SPE)</t>
  </si>
  <si>
    <t>02691021204-PHENOMENEX,12785290151-Agilent Technologies Italia S.p.A.,04756320273-D.T.O. S.R.L.,03176570723-LAB INSTRUMENTS S.R.L.,01463800035-C.P.S. Analitica SRL,07995660581-Spectra 2000 Srl</t>
  </si>
  <si>
    <t>07995660581-Spectra 2000 Srl</t>
  </si>
  <si>
    <t>8694.2</t>
  </si>
  <si>
    <t>inizio 07/03/2022, ultimazione 07/03/2026</t>
  </si>
  <si>
    <t>1535.8</t>
  </si>
  <si>
    <t>Fornitura biennale di standards ehrenstorfer</t>
  </si>
  <si>
    <t>12864800151-vwr international srl,03948960962-LGC Standards S.r.L.,03442910372-LabService Analytica</t>
  </si>
  <si>
    <t>23897.64</t>
  </si>
  <si>
    <t>inizio 02/03/2022, ultimazione 02/03/2024</t>
  </si>
  <si>
    <t>3762.02</t>
  </si>
  <si>
    <t>oda n. 6583241 per la fornitura del servizio di supporto allufficio del personale a decorrere dalla data di avvio del servizio stesso per n. 2 giorni alla settimana per un supporto di 100 giornate/anno</t>
  </si>
  <si>
    <t>39000.0</t>
  </si>
  <si>
    <t>inizio 01/03/2022, ultimazione 31/12/2022</t>
  </si>
  <si>
    <t>Fornitura di MagPurix Viral pathogen</t>
  </si>
  <si>
    <t>10081.0</t>
  </si>
  <si>
    <t>inizio 28/02/2022, ultimazione 31/08/2022</t>
  </si>
  <si>
    <t>16273.0</t>
  </si>
  <si>
    <t>RDO MEPA n. 2935238 per la fornitura di n. 1 applicativo informatico di gestione dellattività formativa, ex Decreto Legislativo 18 aprile 2016, n. 50, art. 36, comma 2, lettera a)</t>
  </si>
  <si>
    <t>02541180986-invisiblefarm srl</t>
  </si>
  <si>
    <t>inizio 25/02/2022, ultimazione 31/12/2022</t>
  </si>
  <si>
    <t>Solventi per HPLC</t>
  </si>
  <si>
    <t>12864800151-vwr international srl,05515521002-chemical research 2000,03442910372-LabService Analytica,12785290151-Agilent Technologies Italia S.p.A.,03176570723-LAB INSTRUMENTS S.R.L.,00391470580-Chebios,02791720960-Li StarFish,01802940484-CARLO ERBA REAGENTS SRL,04720000159-NOVA CHIMICA S.R.L.,13209130155-Merck Life Science S.r.l.</t>
  </si>
  <si>
    <t>2919.6</t>
  </si>
  <si>
    <t>inizio 25/02/2022, ultimazione 25/02/2024</t>
  </si>
  <si>
    <t>1381.3</t>
  </si>
  <si>
    <t>Fornitura di circuiti Veqtas VLA</t>
  </si>
  <si>
    <t>08890210159-STAR ECOTRONICS</t>
  </si>
  <si>
    <t>17360.0</t>
  </si>
  <si>
    <t>inizio 24/02/2022, ultimazione 13/05/2022</t>
  </si>
  <si>
    <t>20139.25</t>
  </si>
  <si>
    <t>ODA n. 6624083 su Mercato Elettronico della Pubblica Amministrazione per la fornitura del servizio di assistenza al portale di gestione del personale per il primo semestre 2022</t>
  </si>
  <si>
    <t xml:space="preserve">05026960962-Inaz s.r.l. </t>
  </si>
  <si>
    <t>13757.36</t>
  </si>
  <si>
    <t>inizio 23/02/2022, ultimazione 23/02/2022</t>
  </si>
  <si>
    <t>Acquisto di n. 60 PC Desktop aderendo a convenzione Consip, Pc Desktop e workstation  Lotto 2, CIG 816269442E</t>
  </si>
  <si>
    <t>08619670584-Italware srl</t>
  </si>
  <si>
    <t>29136.0</t>
  </si>
  <si>
    <t>Fornitura annuale di prodotti Macherey Nagel</t>
  </si>
  <si>
    <t>2366.78</t>
  </si>
  <si>
    <t>inizio 23/02/2022, ultimazione 23/02/2023</t>
  </si>
  <si>
    <t>87.6</t>
  </si>
  <si>
    <t>ODA n. 6649343 su Mercato Elettronico della Pubblica Amministrazione per la fornitura di n. 1 un proiettore</t>
  </si>
  <si>
    <t>03274460371-punto cart</t>
  </si>
  <si>
    <t>598.99</t>
  </si>
  <si>
    <t>ODA n. 6642355 su Mercato Elettronico della Pubblica Amministrazione per la fornitura del servizio di migrazione dei dati di natura contabile</t>
  </si>
  <si>
    <t>20000.0</t>
  </si>
  <si>
    <t>ODA n. 6624062 su Mercato Elettronico della Pubblica Amministrazione per la fornitura del servizio di manutenzione del software ALFABOX XLight finalizzato alla valutazione del personale per il biennio 2022/2023,</t>
  </si>
  <si>
    <t>06720630489-HMS CONSULTING srl</t>
  </si>
  <si>
    <t>30500.0</t>
  </si>
  <si>
    <t>15250.0</t>
  </si>
  <si>
    <t>ODA n. 6595188 su Mercato Elettronico della Pubblica Amministrazione per la fornitura di n. 1 abbonamento triennale per gli anni 2022-2024 di un software PriMus power pack/CerTus power pack</t>
  </si>
  <si>
    <t xml:space="preserve">01883740647-acca software spa </t>
  </si>
  <si>
    <t>1849.0</t>
  </si>
  <si>
    <t>Fornitura di Epredia ultravision LP HRP</t>
  </si>
  <si>
    <t>inizio 22/02/2022, ultimazione 22/02/2022</t>
  </si>
  <si>
    <t>Fornitura annuale di kit Elisa ID Screnn Besnoita</t>
  </si>
  <si>
    <t>47812321900022-Innovative Diagnostics SARL</t>
  </si>
  <si>
    <t>8075.0</t>
  </si>
  <si>
    <t>inizio 22/02/2022, ultimazione 22/02/2023</t>
  </si>
  <si>
    <t>3325.0</t>
  </si>
  <si>
    <t>Fornitura annuale di kit kapa</t>
  </si>
  <si>
    <t>10181220152-ROCHE DIAGNOSTICS SPA</t>
  </si>
  <si>
    <t>7349.5</t>
  </si>
  <si>
    <t>Fornitura triennale kit elisa per la ricerca di anticorpi anti-gp51 del virus della leucosi bovina enzootica</t>
  </si>
  <si>
    <t>12032450152-Idexx Laboratories Italia srl,03680250283-EUROIMMUN ITALIA S.R.L. CON SOCIO UNICO,01152200018-AGROLABO SPA,01739430476-BIOCLASS SRL,00875820326-Eurofins Tecna s.r.l.,05632311212-M&amp;M Biotech S.c.ar.l,04127270157-SOL SpA,07672391211-HOSMOTIC SRL,07246691005-Servizi Diagnostici S.r.l.</t>
  </si>
  <si>
    <t>00875820326-Eurofins Tecna s.r.l.</t>
  </si>
  <si>
    <t>80428.8</t>
  </si>
  <si>
    <t>inizio 18/02/2022, ultimazione 17/02/2025</t>
  </si>
  <si>
    <t>7929.6</t>
  </si>
  <si>
    <t>Fornitura di sieri e antisieri salmonella</t>
  </si>
  <si>
    <t>2490.0</t>
  </si>
  <si>
    <t>inizio 16/02/2022, ultimazione 16/02/2022</t>
  </si>
  <si>
    <t>Fornitura di ferri chirurgici</t>
  </si>
  <si>
    <t>04707001006-MEDIKRON SRL</t>
  </si>
  <si>
    <t>2600.4</t>
  </si>
  <si>
    <t>inizio 16/02/2022, ultimazione 29/03/2022</t>
  </si>
  <si>
    <t>3545.4</t>
  </si>
  <si>
    <t xml:space="preserve">Fornitura di adattarori di erogazione per Media Prep  </t>
  </si>
  <si>
    <t>900.0</t>
  </si>
  <si>
    <t>Fornitura annuale di Petrifilm AC - E.Coli</t>
  </si>
  <si>
    <t>04959920150-SACCO S.R.L.</t>
  </si>
  <si>
    <t>9768.98</t>
  </si>
  <si>
    <t>inizio 15/02/2022, ultimazione 15/02/2023</t>
  </si>
  <si>
    <t>9351.01</t>
  </si>
  <si>
    <t>Acquisizione di prodotti biologici immunizzanti, tubercoline PPD bovina e aviaria, per la Regione Toscana, anno 2022</t>
  </si>
  <si>
    <t>00150090546-Istituto Zooprofilattico Sperimentale dell'Umbria e delle Marche "Togo Rosati"</t>
  </si>
  <si>
    <t>5310.8</t>
  </si>
  <si>
    <t>inizio 15/02/2022, ultimazione 22/07/2022</t>
  </si>
  <si>
    <t>Fornitura di Canine distemper virus monoclonal</t>
  </si>
  <si>
    <t>04869950156-BIO-TECHNE SRL</t>
  </si>
  <si>
    <t>630.0</t>
  </si>
  <si>
    <t>inizio 14/02/2022, ultimazione 14/02/2022</t>
  </si>
  <si>
    <t>Alcoli di grado analitico</t>
  </si>
  <si>
    <t>01086690581-S.I.A.L. SRL,03442910372-LabService Analytica,08126390155-EUROCLONE SPA,04437501002-unimed scientifica s.r.l.,03176570723-LAB INSTRUMENTS S.R.L.,04052200872-Labochem Science S.r.l.,12785290151-Agilent Technologies Italia S.p.A.,05515521002-chemical research 2000,07995660581-Spectra 2000 Srl,01022690364-EXACTA+OPTECH Labcenter S.p.A.,13209130155-Merck Life Science S.r.l.,12864800151-vwr international srl,00391470580-Chebios,01802940484-CARLO ERBA REAGENTS SRL,02791720960-Li StarFish,05706610481-VINCI-BIOCHEM SRL,10926691006-Aurogene s.r.l.,09802470154-Scharlab Italia srl</t>
  </si>
  <si>
    <t>11893.18</t>
  </si>
  <si>
    <t>inizio 07/02/2022, ultimazione 06/02/2025</t>
  </si>
  <si>
    <t>1665.0</t>
  </si>
  <si>
    <t>Fornitura biennale di kit Elisa antigene di Dirofilaria immitis</t>
  </si>
  <si>
    <t>12032450152-Idexx Laboratories Italia srl,07484470153-DBA ITALIA SRL,12000641006-ZOETIS ITALIA SRL,02791720960-Li StarFish</t>
  </si>
  <si>
    <t>12032450152-Idexx Laboratories Italia srl</t>
  </si>
  <si>
    <t>5377.84</t>
  </si>
  <si>
    <t>inizio 07/02/2022, ultimazione 07/02/2024</t>
  </si>
  <si>
    <t>2482.08</t>
  </si>
  <si>
    <t>Fornitura vetrini con pozzetti di reazione per Immunofluorescenza</t>
  </si>
  <si>
    <t>12864800151-vwr international srl,00805390283-LABOINDUSTRIA S.p.A.</t>
  </si>
  <si>
    <t>2400.0</t>
  </si>
  <si>
    <t>inizio 07/02/2022, ultimazione 07/02/2022</t>
  </si>
  <si>
    <t xml:space="preserve">Fornitura di resine per demineralizzatore </t>
  </si>
  <si>
    <t>03433320375-FAVS di Guidi Andrea e Antonella Srl</t>
  </si>
  <si>
    <t>1422.0</t>
  </si>
  <si>
    <t>inizio 03/02/2022, ultimazione 03/02/2022</t>
  </si>
  <si>
    <t>Fornitura triennale di kit identificazione batterica Bionor</t>
  </si>
  <si>
    <t>10192.0</t>
  </si>
  <si>
    <t>inizio 03/02/2022, ultimazione 03/02/2025</t>
  </si>
  <si>
    <t>2548.0</t>
  </si>
  <si>
    <t>Affidamento dei lavori urgenti per rinnovo quadro elettrico generale di media tensione, nuovi trasformatori MT/BT da 1000 kVA e nuove batterie a servizio presso la sede di Roma dellIstituto Zooprofilattico Sperimentale del Lazio e della Toscana</t>
  </si>
  <si>
    <t>09303271218-RAG COSTRUZIONI SRL,02982820595-Visio Electric srl,00442410585-MICOR SRL</t>
  </si>
  <si>
    <t>02982820595-Visio Electric srl</t>
  </si>
  <si>
    <t>122129.6</t>
  </si>
  <si>
    <t>inizio 01/02/2022, ultimazione 31/12/2022</t>
  </si>
  <si>
    <t xml:space="preserve">Affidamento dei lavori del nuovo impianto UTA, fornitura e posa in opera di un gruppo ad acqua, sostituzione bussole esistenti (comprensivo di rampa e porte d emergenza), nuovo cavedio per eliminazione umidità su parete esterna, rifacimento facciate e asfalto piazzale esterno presso la sede di Roma dellIstituto Zooprofilattico Sperimentale del Lazio e della Toscana </t>
  </si>
  <si>
    <t>02275670590-EDILIO s.r.l.,13853271008-Bianco Restauri S.R.L,VTTNTN42T08E605D-VUOTTO ANTONIO</t>
  </si>
  <si>
    <t>131901.56</t>
  </si>
  <si>
    <t>83700.0</t>
  </si>
  <si>
    <t>RC Patrimoniale</t>
  </si>
  <si>
    <t>05554041003-S&amp;C Insurance Brokers srl</t>
  </si>
  <si>
    <t>18500.0</t>
  </si>
  <si>
    <t>inizio 31/01/2022, ultimazione 31/01/2023</t>
  </si>
  <si>
    <t>R.C.A.</t>
  </si>
  <si>
    <t>12525420159-XL INSURANCE COMPANY SE,00818570012-UNIPOLSAI ASSICURAZIONI SPA</t>
  </si>
  <si>
    <t>00818570012-UNIPOLSAI ASSICURAZIONI SPA</t>
  </si>
  <si>
    <t>RCTO</t>
  </si>
  <si>
    <t>9940.0</t>
  </si>
  <si>
    <t>Infortuni</t>
  </si>
  <si>
    <t>2460.0</t>
  </si>
  <si>
    <t>All Risks</t>
  </si>
  <si>
    <t>26238.0</t>
  </si>
  <si>
    <t>Kasko dipendenti in missione</t>
  </si>
  <si>
    <t>18000.0</t>
  </si>
  <si>
    <t>TD su Mercato Elettronico della Pubblica Amministrazione n. 1865760 per la fornitura di n. 1 estrattore automatico DNA/RNA e di proteine Maxwell 16</t>
  </si>
  <si>
    <t>28500.0</t>
  </si>
  <si>
    <t>inizio 27/01/2022, ultimazione 31/12/2022</t>
  </si>
  <si>
    <t>23950.0</t>
  </si>
  <si>
    <t>Fornitura triennale di prodotti infungibili Sensititre, Trek Diagnostics Systems</t>
  </si>
  <si>
    <t>166109.4</t>
  </si>
  <si>
    <t>inizio 25/01/2022, ultimazione 24/01/2025</t>
  </si>
  <si>
    <t>80357.56</t>
  </si>
  <si>
    <t>oda n. 6578518 per la fornitura del servizio di manutenzione ed assistenza triennale per il periodo decorrente dal 1° gennaio 2022 fino al 31 dicembre 2022 del sistema di gestione OSLO</t>
  </si>
  <si>
    <t>12378150150-OSLO SRL</t>
  </si>
  <si>
    <t>31219.0</t>
  </si>
  <si>
    <t>inizio 24/01/2022, ultimazione 25/01/2022</t>
  </si>
  <si>
    <t>25664.25</t>
  </si>
  <si>
    <t>oda n. 6584217 per la fornitura del servizio di archiviazione sostitutiva dei documenti fiscali, comprendenti anche le fatture attive e passive per il periodo 2015/2021 nonché per le annualità 2022 e 2023</t>
  </si>
  <si>
    <t>8000.03</t>
  </si>
  <si>
    <t xml:space="preserve">oda n. 6572172 per la fornitura del servizio di dematerializzazione del fascicolo del personale, </t>
  </si>
  <si>
    <t>13000.0</t>
  </si>
  <si>
    <t>TD su Mercato Elettronico della Pubblica Amministrazione n. 1835131 per la fornitura annuale di n. 75.000 OPI e n. 50.000 IUV/PD,</t>
  </si>
  <si>
    <t>01265230902-Numera Sistemi e Informatica spa</t>
  </si>
  <si>
    <t>19000.0</t>
  </si>
  <si>
    <t>inizio 24/01/2022, ultimazione 24/01/2023</t>
  </si>
  <si>
    <t>30400.0</t>
  </si>
  <si>
    <t>Fornitura biennale di cartucce in gas butano da 250g</t>
  </si>
  <si>
    <t>03951340722-CHEMIC ALS SRL,05376651005-Bioscientifica,00195980289-Artiglass srl</t>
  </si>
  <si>
    <t>8260.0</t>
  </si>
  <si>
    <t>inizio 18/01/2022, ultimazione 18/01/2024</t>
  </si>
  <si>
    <t>1003.0</t>
  </si>
  <si>
    <t>RDO MEPA APERTA N. 2880359, ai sensi dellart. 36, comma 2, lett. b), del Decreto Legislativo 18 aprile 2016, n. 50 per laffidamento del servizio di noleggio a lungo termine per mesi 48 di n. 2 furgoni coibentati</t>
  </si>
  <si>
    <t>00382830891-GENOVESE UMBERTO SRL</t>
  </si>
  <si>
    <t>89727.5</t>
  </si>
  <si>
    <t>inizio 17/01/2022, ultimazione 17/01/2026</t>
  </si>
  <si>
    <t>9969.6</t>
  </si>
  <si>
    <t>Fornitura annuale di puntali compatibili per pipette Gilson</t>
  </si>
  <si>
    <t>01739430476-BIOCLASS SRL,03176570723-LAB INSTRUMENTS S.R.L.,05632311212-M&amp;M Biotech S.c.ar.l,02829240155-GILSON ITALIA,13023610150-Starlab Srl</t>
  </si>
  <si>
    <t>19198.0</t>
  </si>
  <si>
    <t>inizio 17/01/2022, ultimazione 17/01/2023</t>
  </si>
  <si>
    <t>13704.0</t>
  </si>
  <si>
    <t>ODA n. 6558278 per la fornitura di n. 4 termomixer con termoblocchi</t>
  </si>
  <si>
    <t>16988.0</t>
  </si>
  <si>
    <t>inizio 12/01/2022, ultimazione 12/01/2022</t>
  </si>
  <si>
    <t>15902.0</t>
  </si>
  <si>
    <t>ODA n. 6570338 per la fornitura di n. 11 sedie da laboratorio</t>
  </si>
  <si>
    <t>1911.25</t>
  </si>
  <si>
    <t>ODA n. 6562615 per la fornitura di n. 7 setacci</t>
  </si>
  <si>
    <t>00481870277-EN.CO. SRL</t>
  </si>
  <si>
    <t>754.0</t>
  </si>
  <si>
    <t>ODA n. 6564064 per la fornitura di arredi da laboratorio</t>
  </si>
  <si>
    <t>06271320589-LABOZETA S.p.A.</t>
  </si>
  <si>
    <t>16800.0</t>
  </si>
  <si>
    <t>ODA. n. 6545063 per la fornitura di n. 1 cella di stagionatura</t>
  </si>
  <si>
    <t>02569110402-Sagie Grandi Impianti Srl,</t>
  </si>
  <si>
    <t>4360.0</t>
  </si>
  <si>
    <t>oda n. 6564148 per la fornitura di arredi vari per ufficio</t>
  </si>
  <si>
    <t>8073.0</t>
  </si>
  <si>
    <t>n. 6500240 per la fornitura di n. 1 kit di addestramento BLSD</t>
  </si>
  <si>
    <t>06525440480-Sofrapa Healthcare Di Paolo Innocenti</t>
  </si>
  <si>
    <t>430.33</t>
  </si>
  <si>
    <t>inizio 11/01/2022, ultimazione 11/01/2022</t>
  </si>
  <si>
    <t>ODA n. 6557962 per la fornitura di n. 2 spettrofotometri</t>
  </si>
  <si>
    <t>24700.0</t>
  </si>
  <si>
    <t>ODA n. 6494386 per la fornitura di n. 1 pannello a messaggio variabile</t>
  </si>
  <si>
    <t>02253560540-Sisas spa</t>
  </si>
  <si>
    <t>6616.0</t>
  </si>
  <si>
    <t>oda n. 6484314 per la fornitura di n. 11 defibrillatori</t>
  </si>
  <si>
    <t>02367210735-MEDVET S.r.l.</t>
  </si>
  <si>
    <t>8580.0</t>
  </si>
  <si>
    <t>Servizio dosimetria esterna anno 2022</t>
  </si>
  <si>
    <t>139.2</t>
  </si>
  <si>
    <t>inizio 10/01/2022, ultimazione 31/12/2022</t>
  </si>
  <si>
    <t>52.2</t>
  </si>
  <si>
    <t xml:space="preserve">Certificazione di catena termometrica </t>
  </si>
  <si>
    <t>1176.0</t>
  </si>
  <si>
    <t>inizio 03/01/2022, ultimazione 03/01/2022</t>
  </si>
  <si>
    <t>Fornitura di mascherine FFP2</t>
  </si>
  <si>
    <t>02858110733-consorzio stabile consorzio mediterraneo in sigla co.med</t>
  </si>
  <si>
    <t>EMERGENZA COVID  Affidamento diretto, ai sensi dell'art. 36, comma 2, lett. a), del Decreto Legislativo 18 aprile 2016, n. 50, per la fornitura di un servizio di vigilanza armata presso laccesso al drive in COVID</t>
  </si>
  <si>
    <t>00310180351-COOPSERVICE S. Coop. p. A.</t>
  </si>
  <si>
    <t>3100.0</t>
  </si>
  <si>
    <t>inizio 02/01/2022, ultimazione 31/01/2022</t>
  </si>
  <si>
    <t>3620.0</t>
  </si>
  <si>
    <t>00422420588-Istituto Zooprofilattico Sperimentale del Lazio e della Toscana M. Aleandri - Fondo Economale</t>
  </si>
  <si>
    <t xml:space="preserve">nastro autoclave </t>
  </si>
  <si>
    <t xml:space="preserve">08973230967-Amazon EU </t>
  </si>
  <si>
    <t>34.99</t>
  </si>
  <si>
    <t>inizio 01/01/2022, ultimazione 31/12/2022</t>
  </si>
  <si>
    <t xml:space="preserve">spedizione posta </t>
  </si>
  <si>
    <t xml:space="preserve">97103880585-poste italiane </t>
  </si>
  <si>
    <t>45.6</t>
  </si>
  <si>
    <t xml:space="preserve">mobile per ufficio </t>
  </si>
  <si>
    <t xml:space="preserve">11574560154-Ikea Italia </t>
  </si>
  <si>
    <t>60.0</t>
  </si>
  <si>
    <t xml:space="preserve">invio posta </t>
  </si>
  <si>
    <t>39.65</t>
  </si>
  <si>
    <t xml:space="preserve">infocert </t>
  </si>
  <si>
    <t>73.0</t>
  </si>
  <si>
    <t xml:space="preserve">materiale per portineria </t>
  </si>
  <si>
    <t>102.46</t>
  </si>
  <si>
    <t xml:space="preserve">toner rigenerato </t>
  </si>
  <si>
    <t>207.0</t>
  </si>
  <si>
    <t>RDO MEPA n. 2861947- Affidamento dei servizi di supporto, consulenza ed assistenza inerente il software JOBTIME, riguardante la gestione del sistema informativo HR dellIstituto per la durata complessiva di mesi 30, ai sensi del Decreto Legislativo n. 50 del 18 aprile 2016, art. 36, comma 2, lett. b)</t>
  </si>
  <si>
    <t>01944260221-GPI S.P.A.,03488860242-STUDIO STORTI SRL,07830820580-iptsat srl,04427081007-ECO LASER INFORMATICA SRL,02541180986-invisiblefarm srl,03222970406-M.y.O S.p.a.</t>
  </si>
  <si>
    <t>190000.0</t>
  </si>
  <si>
    <t>inizio 01/01/2022, ultimazione 01/07/2024</t>
  </si>
  <si>
    <t>57000.05</t>
  </si>
  <si>
    <t>Adesione circuito interlab test veritas 2022</t>
  </si>
  <si>
    <t>04502910286-TEST VERITAS S.R.L.</t>
  </si>
  <si>
    <t>1030.0</t>
  </si>
  <si>
    <t xml:space="preserve">materiale di cancelleria </t>
  </si>
  <si>
    <t>01499461000-Ufficio Moderno di Roma Buffetti</t>
  </si>
  <si>
    <t>69.0</t>
  </si>
  <si>
    <t xml:space="preserve">spedizione e affrancatura posta </t>
  </si>
  <si>
    <t>86.1</t>
  </si>
  <si>
    <t xml:space="preserve">materiale per cancelleria </t>
  </si>
  <si>
    <t>104.3</t>
  </si>
  <si>
    <t xml:space="preserve">pellicola universale per raggi UV </t>
  </si>
  <si>
    <t>54.05</t>
  </si>
  <si>
    <t>Fornitura di materiale di riferimento JRC</t>
  </si>
  <si>
    <t>00000000000-Joint Research Center</t>
  </si>
  <si>
    <t>2550.0</t>
  </si>
  <si>
    <t xml:space="preserve">acquisto carburante </t>
  </si>
  <si>
    <t xml:space="preserve">10854471009-distributori carburanti Falasca </t>
  </si>
  <si>
    <t>62.0</t>
  </si>
  <si>
    <t xml:space="preserve">mouse e tappetino </t>
  </si>
  <si>
    <t>38.96</t>
  </si>
  <si>
    <t xml:space="preserve">matariale di cancelleria </t>
  </si>
  <si>
    <t>303.6</t>
  </si>
  <si>
    <t xml:space="preserve">bacheca portachiavi receptionist </t>
  </si>
  <si>
    <t>69.9</t>
  </si>
  <si>
    <t xml:space="preserve">rifornimento carburante </t>
  </si>
  <si>
    <t>85.5</t>
  </si>
  <si>
    <t xml:space="preserve">acquisto materiale di cancelleria </t>
  </si>
  <si>
    <t>37.7</t>
  </si>
  <si>
    <t xml:space="preserve">acquisto carburante per esaurimento plafond carte carburante  </t>
  </si>
  <si>
    <t>180.5</t>
  </si>
  <si>
    <t xml:space="preserve">materiale cancelleria </t>
  </si>
  <si>
    <t>169.81</t>
  </si>
  <si>
    <t>Adesione circuiti AIA 2022</t>
  </si>
  <si>
    <t>00944701002-ASSOCIAZIONE ITALIANA ALLEVATORI</t>
  </si>
  <si>
    <t>30131.0</t>
  </si>
  <si>
    <t>20769.5</t>
  </si>
  <si>
    <t xml:space="preserve">chiavi nuova porta magazzino </t>
  </si>
  <si>
    <t xml:space="preserve">06224250586-fer color ferramenta </t>
  </si>
  <si>
    <t>9.0</t>
  </si>
  <si>
    <t xml:space="preserve">cartelline per presentazione </t>
  </si>
  <si>
    <t>433.5</t>
  </si>
  <si>
    <t>reagenti da laboratorio</t>
  </si>
  <si>
    <t>15355761006-aocs</t>
  </si>
  <si>
    <t>1619.52</t>
  </si>
  <si>
    <t xml:space="preserve">rinnovi firma digitale </t>
  </si>
  <si>
    <t>35.0</t>
  </si>
  <si>
    <t xml:space="preserve">prodotti per portineria </t>
  </si>
  <si>
    <t>68.85</t>
  </si>
  <si>
    <t xml:space="preserve">rinnovo e acquisto firma digitale </t>
  </si>
  <si>
    <t>43.0</t>
  </si>
  <si>
    <t>Adesione circuito LGC Standards 2022</t>
  </si>
  <si>
    <t>6497.0</t>
  </si>
  <si>
    <t xml:space="preserve">sdoganamento reagenti </t>
  </si>
  <si>
    <t>08537690151-ups milano</t>
  </si>
  <si>
    <t>379.49</t>
  </si>
  <si>
    <t xml:space="preserve">sdoganamento reagenti da laboratorio </t>
  </si>
  <si>
    <t xml:space="preserve">cartucce compatibili stampante epson </t>
  </si>
  <si>
    <t>15.79</t>
  </si>
  <si>
    <t xml:space="preserve">invio raccomandata a/r </t>
  </si>
  <si>
    <t>10.75</t>
  </si>
  <si>
    <t xml:space="preserve">piante da ornamento laboratorio Alimenti </t>
  </si>
  <si>
    <t xml:space="preserve">04384481000-vivai graziella </t>
  </si>
  <si>
    <t>220.0</t>
  </si>
  <si>
    <t xml:space="preserve">spedizione posta in attesa affrancatrice </t>
  </si>
  <si>
    <t>57.0</t>
  </si>
  <si>
    <t>carrello portaoggetti</t>
  </si>
  <si>
    <t>29.9</t>
  </si>
  <si>
    <t xml:space="preserve">materiale di supporto per portineria </t>
  </si>
  <si>
    <t>21.01</t>
  </si>
  <si>
    <t xml:space="preserve">catenelle per posaceneri mobili </t>
  </si>
  <si>
    <t xml:space="preserve">05602710963-Leroy Merlin Italia </t>
  </si>
  <si>
    <t>25.03</t>
  </si>
  <si>
    <t xml:space="preserve">materiale vario informatico </t>
  </si>
  <si>
    <t xml:space="preserve">targhette per chiavi </t>
  </si>
  <si>
    <t xml:space="preserve">06303151002-stazione di servizio ipmatic </t>
  </si>
  <si>
    <t>54.0</t>
  </si>
  <si>
    <t xml:space="preserve">alimenti per analisi di laboratorio </t>
  </si>
  <si>
    <t>01977170156-tecnolatte</t>
  </si>
  <si>
    <t>143.55</t>
  </si>
  <si>
    <t xml:space="preserve">materiale di cancelleria vario per espletamento assegnazioni borse di studio </t>
  </si>
  <si>
    <t>296.0</t>
  </si>
  <si>
    <t xml:space="preserve">toner per stampante Kyocera </t>
  </si>
  <si>
    <t>86.9</t>
  </si>
  <si>
    <t>170.5</t>
  </si>
  <si>
    <t>Adesione al programma di valutazione esterna della qualità 2022</t>
  </si>
  <si>
    <t>198.0</t>
  </si>
  <si>
    <t xml:space="preserve">alimenti freschi per analisi trichinella </t>
  </si>
  <si>
    <t>11247460154-fresco market</t>
  </si>
  <si>
    <t>48.83</t>
  </si>
  <si>
    <t>70.35</t>
  </si>
  <si>
    <t>Adesione Circuiti FAPAS 2022</t>
  </si>
  <si>
    <t>16077.7</t>
  </si>
  <si>
    <t>16731.7</t>
  </si>
  <si>
    <t xml:space="preserve">cassettiera con serratura sotto scrivania e buste </t>
  </si>
  <si>
    <t>479.0</t>
  </si>
  <si>
    <t xml:space="preserve">materiale di cancelleria cario </t>
  </si>
  <si>
    <t>45.98</t>
  </si>
  <si>
    <t xml:space="preserve">contenitori per autoparco </t>
  </si>
  <si>
    <t xml:space="preserve">04552691000-pacifici corrado </t>
  </si>
  <si>
    <t>90.0</t>
  </si>
  <si>
    <t>acquisto carburante</t>
  </si>
  <si>
    <t>133.0</t>
  </si>
  <si>
    <t>Fornitura di kit Elisa ricerca Anticorpi Anti-Gp51 virus Leucosi Bovina Enzootica</t>
  </si>
  <si>
    <t>2880.0</t>
  </si>
  <si>
    <t>inizio 21/12/2021, ultimazione 21/12/2022</t>
  </si>
  <si>
    <t>3200.0</t>
  </si>
  <si>
    <t>Smontaggio cappa chimica di grandi dimensioni - rif. UOM737/21</t>
  </si>
  <si>
    <t>980.0</t>
  </si>
  <si>
    <t>inizio 21/12/2021, ultimazione 21/12/2021</t>
  </si>
  <si>
    <t>931.0</t>
  </si>
  <si>
    <t>Trasferimento app.re ed arredi comprensivo dell'impiantistica idrica sede di Firenze- rif. UOM736/21</t>
  </si>
  <si>
    <t>4850.0</t>
  </si>
  <si>
    <t>inizio 20/12/2021, ultimazione 21/12/2021</t>
  </si>
  <si>
    <t>4607.5</t>
  </si>
  <si>
    <t>Manutenzione II semestre, controlli settimanali e verifica completa del compressore centralizzato Atlas Copco aria compressa lab chimico sde di Roma - rif. UOM714</t>
  </si>
  <si>
    <t>1350.0</t>
  </si>
  <si>
    <t>inizio 20/12/2021, ultimazione 20/12/2021</t>
  </si>
  <si>
    <t>1282.5</t>
  </si>
  <si>
    <t>Trasferimento app.re ed arredi all'interno del laboratorio terreni - rif. UOM733/21</t>
  </si>
  <si>
    <t>1400.0</t>
  </si>
  <si>
    <t>inizio 18/12/2021, ultimazione 18/12/2021</t>
  </si>
  <si>
    <t>Trasferimento n° 4 autopreparatori dal magazzino al laboratorio - rif. UOM716/21</t>
  </si>
  <si>
    <t>inizio 17/12/2021, ultimazione 17/12/2021</t>
  </si>
  <si>
    <t>570.0</t>
  </si>
  <si>
    <t>Fornitura annuale di colonnine per sistema automatico di purificazione per diossine Power Prep</t>
  </si>
  <si>
    <t>54600.0</t>
  </si>
  <si>
    <t>inizio 16/12/2021, ultimazione 15/12/2022</t>
  </si>
  <si>
    <t>53810.0</t>
  </si>
  <si>
    <t>Riparazione impianto di addolcimento sede di Roma per problematiche di esito negativo su controllo analisi - rif. UOM715/21</t>
  </si>
  <si>
    <t>3450.0</t>
  </si>
  <si>
    <t>inizio 15/12/2021, ultimazione 17/12/2021</t>
  </si>
  <si>
    <t>3277.5</t>
  </si>
  <si>
    <t>Ripristino impianto di aria compressa di servizio all'autoclave in uso presso la sede di Viterbo - rif. UOM633/21</t>
  </si>
  <si>
    <t>1450.0</t>
  </si>
  <si>
    <t>inizio 14/12/2021, ultimazione 14/12/2021</t>
  </si>
  <si>
    <t>1377.5</t>
  </si>
  <si>
    <t>Fornitura annuale di standard di calibrazione aw</t>
  </si>
  <si>
    <t>inizio 14/12/2021, ultimazione 14/12/2022</t>
  </si>
  <si>
    <t>3101.0</t>
  </si>
  <si>
    <t>Trasferimento bancone da laboratorio da Rieti a Grosseto - rif. UOM637/21</t>
  </si>
  <si>
    <t>712.5</t>
  </si>
  <si>
    <t>Fornitura miscele custom di materiali di riferimento per pesticidi vegetali e tossicologia</t>
  </si>
  <si>
    <t>03226210155-Restek S.r.l.,01022690364-EXACTA+OPTECH Labcenter S.p.A.,02079741209-Ultra Scientific Italia Srl,00391470580-Chebios,13209130155-Merck Life Science S.r.l.,12785290151-Agilent Technologies Italia S.p.A.,07995660581-Spectra 2000 Srl,03442910372-LabService Analytica,05515521002-chemical research 2000,03176570723-LAB INSTRUMENTS S.R.L.,01802940484-CARLO ERBA REAGENTS SRL</t>
  </si>
  <si>
    <t>23982.0</t>
  </si>
  <si>
    <t>inizio 13/12/2021, ultimazione 13/12/2022</t>
  </si>
  <si>
    <t>6743.0</t>
  </si>
  <si>
    <t>Solventi organici per pesticidi</t>
  </si>
  <si>
    <t>01086690581-S.I.A.L. SRL,09802470154-Scharlab Italia srl,03442910372-LabService Analytica,08126390155-EUROCLONE SPA,04437501002-unimed scientifica s.r.l.,03176570723-LAB INSTRUMENTS S.R.L.,04052200872-Labochem Science S.r.l.,05515521002-chemical research 2000,07995660581-Spectra 2000 Srl,01022690364-EXACTA+OPTECH Labcenter S.p.A.,00391470580-Chebios,12864800151-vwr international srl,01802940484-CARLO ERBA REAGENTS SRL,02791720960-Li StarFish,13209130155-Merck Life Science S.r.l.,05706610481-VINCI-BIOCHEM SRL,12785290151-Agilent Technologies Italia S.p.A.,10926691006-Aurogene s.r.l.</t>
  </si>
  <si>
    <t>1965.91</t>
  </si>
  <si>
    <t>inizio 06/12/2021, ultimazione 06/12/2024</t>
  </si>
  <si>
    <t>904.69</t>
  </si>
  <si>
    <t>Gestione con la casa costruttrice/distributrice della taratura dello strumento AQUALAB in garanzia - rif. UOM696/21</t>
  </si>
  <si>
    <t>inizio 04/12/2021, ultimazione 23/12/2021</t>
  </si>
  <si>
    <t>1140.0</t>
  </si>
  <si>
    <t>Realizzazione laboratorio autocontrollo piano secondo edificio 4 sede di Roma - rif. DTP1144</t>
  </si>
  <si>
    <t>14382.76</t>
  </si>
  <si>
    <t>inizio 02/12/2021, ultimazione 20/12/2021</t>
  </si>
  <si>
    <t>13663.62</t>
  </si>
  <si>
    <t>Fornitura annuale di kit per Bioanalyser 2100</t>
  </si>
  <si>
    <t>12785290151-Agilent Technologies Italia S.p.A.,01463800035-C.P.S. Analitica SRL,04756320273-D.T.O. S.R.L.</t>
  </si>
  <si>
    <t>33659.1</t>
  </si>
  <si>
    <t>inizio 29/11/2021, ultimazione 29/11/2022</t>
  </si>
  <si>
    <t>25313.65</t>
  </si>
  <si>
    <t>Risoluzione problematiche impiantistiche cella frigo +4°C sede di Roma - irf. UOM660/21</t>
  </si>
  <si>
    <t>860.0</t>
  </si>
  <si>
    <t>inizio 29/11/2021, ultimazione 30/11/2021</t>
  </si>
  <si>
    <t>817.0</t>
  </si>
  <si>
    <t>Movimentazioni app.re varie e mobilio sede di Pisa - rif. UOM573/21</t>
  </si>
  <si>
    <t>1850.0</t>
  </si>
  <si>
    <t>inizio 25/11/2021, ultimazione 25/11/2021</t>
  </si>
  <si>
    <t>1757.5</t>
  </si>
  <si>
    <t>Fornitura annuale di parti di ricambio consumabili thermo fisher</t>
  </si>
  <si>
    <t>23935.12</t>
  </si>
  <si>
    <t>inizio 23/11/2021, ultimazione 23/11/2022</t>
  </si>
  <si>
    <t>9936.78</t>
  </si>
  <si>
    <t>Gestione con la QIAGEN della fornitura temporanea del QIAecel in sostituzione - rif. UOM688/21</t>
  </si>
  <si>
    <t>1915.0</t>
  </si>
  <si>
    <t>inizio 22/11/2021, ultimazione 23/12/2021</t>
  </si>
  <si>
    <t>1819.25</t>
  </si>
  <si>
    <t>Intervento in garanzia del congelatore da laboratorio FRIMED c/o laboratorio Diagnostica Generale sede di Roma - UOM90/21</t>
  </si>
  <si>
    <t>460.0</t>
  </si>
  <si>
    <t>inizio 17/11/2021, ultimazione 17/11/2021</t>
  </si>
  <si>
    <t>437.0</t>
  </si>
  <si>
    <t>Risoluzione problematiche impiantistiche cella frigo lab diagnostica sede di Roma - rif. UOM662/21</t>
  </si>
  <si>
    <t>970.0</t>
  </si>
  <si>
    <t>inizio 17/11/2021, ultimazione 29/11/2021</t>
  </si>
  <si>
    <t>921.5</t>
  </si>
  <si>
    <t>ODA MEPA N. 6456068 per affidamento del servizio di noleggio per 36 mesi di n. 3 veicoli, in favore della ditta Arval Service Lease Italia S.P.A., ai sensi art. 63, comma 2, lettera c), del Decreto Legislativo 18 aprile 2016 n. 50</t>
  </si>
  <si>
    <t>00879960524-ARVAL SERVICE LEASE ITALIA S.P.A.</t>
  </si>
  <si>
    <t>39348.0</t>
  </si>
  <si>
    <t>inizio 16/11/2021, ultimazione 16/11/2024</t>
  </si>
  <si>
    <t>9875.79</t>
  </si>
  <si>
    <t>Spostamento parete attrezzata da a.p. 100 ad a.p. 101 ed. 4 piano terra per rimodulazione laboratorio terreni - rif. DTP1170</t>
  </si>
  <si>
    <t>34179.54</t>
  </si>
  <si>
    <t>inizio 16/11/2021, ultimazione 20/12/2021</t>
  </si>
  <si>
    <t>kit IFA IgG Theileria-Babesia nel cavallo</t>
  </si>
  <si>
    <t>03642300960-R-BIOPHARM ITALIA S.R.L.,01152200018-AGROLABO SPA,01739430476-BIOCLASS SRL,ESB67076240-Medical Service 2000 SL,05632311212-M&amp;M Biotech S.c.ar.l,10926691006-Aurogene s.r.l.</t>
  </si>
  <si>
    <t>546.0</t>
  </si>
  <si>
    <t>inizio 16/11/2021, ultimazione 16/11/2022</t>
  </si>
  <si>
    <t>1310.4</t>
  </si>
  <si>
    <t>kit IFA IgG Anaplasma Phagocytophilum</t>
  </si>
  <si>
    <t>03642300960-R-BIOPHARM ITALIA S.R.L.,01739430476-BIOCLASS SRL,01152200018-AGROLABO SPA,ESB67076240-Medical Service 2000 SL,05632311212-M&amp;M Biotech S.c.ar.l,10926691006-Aurogene s.r.l.</t>
  </si>
  <si>
    <t>3003.0</t>
  </si>
  <si>
    <t>6224.4</t>
  </si>
  <si>
    <t>kit IFA IgG Ehrlichia canis</t>
  </si>
  <si>
    <t>10004.0</t>
  </si>
  <si>
    <t>12590.4</t>
  </si>
  <si>
    <t>kit IFA IgG Toxoplasma gondii-Neospora-Coronavirus</t>
  </si>
  <si>
    <t>01739430476-BIOCLASS SRL,03642300960-R-BIOPHARM ITALIA S.R.L.,10926691006-Aurogene s.r.l.,01152200018-AGROLABO SPA,ESB67076240-Medical Service 2000 SL,05632311212-M&amp;M Biotech S.c.ar.l</t>
  </si>
  <si>
    <t>2922.0</t>
  </si>
  <si>
    <t>4233.6</t>
  </si>
  <si>
    <t>kit IFA IgG Babesia-Borrelia burgdorferi-Herpesvirus</t>
  </si>
  <si>
    <t>1638.7</t>
  </si>
  <si>
    <t>3643.1</t>
  </si>
  <si>
    <t>kit IFA IgG Rickettsia conorii</t>
  </si>
  <si>
    <t>3139.5</t>
  </si>
  <si>
    <t>4586.4</t>
  </si>
  <si>
    <t>Sostituzione gruppo frigo sede di Arezzo - rif. DTP1594</t>
  </si>
  <si>
    <t>08512761001-Mikos Srl</t>
  </si>
  <si>
    <t>23519.31</t>
  </si>
  <si>
    <t>inizio 15/11/2021, ultimazione 15/12/2021</t>
  </si>
  <si>
    <t>22343.35</t>
  </si>
  <si>
    <t>Aggiornamento sistema di produzione acqua osmotizzata sede di Roma - rif. UOM549/21</t>
  </si>
  <si>
    <t>9750.0</t>
  </si>
  <si>
    <t>inizio 15/11/2021, ultimazione 18/11/2021</t>
  </si>
  <si>
    <t>9262.5</t>
  </si>
  <si>
    <t>Fornitura annuale di pepsina liquida</t>
  </si>
  <si>
    <t>01802940484-CARLO ERBA REAGENTS SRL,01625440928-Microbiol di Sergio Murgia &amp; C. srl,01086690581-S.I.A.L. SRL,01022690364-EXACTA+OPTECH Labcenter S.p.A.,05908410961-ANALYTICAL CONTROL DE MORI SRL CON SOCIO UNICO</t>
  </si>
  <si>
    <t>36375.48</t>
  </si>
  <si>
    <t>inizio 15/11/2021, ultimazione 15/11/2022</t>
  </si>
  <si>
    <t>18861.36</t>
  </si>
  <si>
    <t>Fornitura triennale di emolisina per la fissazione del complemento per morbo coitale e morva</t>
  </si>
  <si>
    <t>00958350522-SCLAVO DIAGNOSTICS INTERNATIONAL SpA,47812321900022-Innovative Diagnostics SARL,08126390155-EUROCLONE SPA,01625440928-Microbiol di Sergio Murgia &amp; C. srl,04959920150-SACCO S.R.L.</t>
  </si>
  <si>
    <t>5500.0</t>
  </si>
  <si>
    <t>inizio 11/11/2021, ultimazione 11/11/2024</t>
  </si>
  <si>
    <t>400.0</t>
  </si>
  <si>
    <t>Ripristino condotti di aspirazione cappe laboratorio terreni sede di Roma - rif. UOM447-448/21</t>
  </si>
  <si>
    <t>770.0</t>
  </si>
  <si>
    <t>inizio 09/11/2021, ultimazione 09/11/2021</t>
  </si>
  <si>
    <t>731.5</t>
  </si>
  <si>
    <t>Trasferimenti vari di arredi ed app.re sede di Roma - rif. UOM613/21</t>
  </si>
  <si>
    <t>880.0</t>
  </si>
  <si>
    <t>inizio 08/11/2021, ultimazione 09/11/2021</t>
  </si>
  <si>
    <t>836.0</t>
  </si>
  <si>
    <t xml:space="preserve"> Acidi e Perossido di idrogeno per analisi in tracce (metalli)</t>
  </si>
  <si>
    <t>05706610481-VINCI-BIOCHEM SRL,01086690581-S.I.A.L. SRL,12864800151-vwr international srl,03442910372-LabService Analytica,10926691006-Aurogene s.r.l.,04437501002-unimed scientifica s.r.l.,03176570723-LAB INSTRUMENTS S.R.L.,04052200872-Labochem Science S.r.l.,05515521002-chemical research 2000,07995660581-Spectra 2000 Srl,01022690364-EXACTA+OPTECH Labcenter S.p.A.,00391470580-Chebios,02791720960-Li StarFish,13209130155-Merck Life Science S.r.l.,08126390155-EUROCLONE SPA,01802940484-CARLO ERBA REAGENTS SRL,12785290151-Agilent Technologies Italia S.p.A.,09802470154-Scharlab Italia srl</t>
  </si>
  <si>
    <t>8149.13</t>
  </si>
  <si>
    <t>inizio 08/11/2021, ultimazione 07/11/2024</t>
  </si>
  <si>
    <t>3411.15</t>
  </si>
  <si>
    <t>ODA6440605 Fornitura thermoblock digitale e blocchi alluminio</t>
  </si>
  <si>
    <t>04891320014-ENRICO BRUNO SRL</t>
  </si>
  <si>
    <t>674.0</t>
  </si>
  <si>
    <t>inizio 08/11/2021, ultimazione 08/11/2021</t>
  </si>
  <si>
    <t>2022.0</t>
  </si>
  <si>
    <t>Canone noleggio bagni chimici area covid19 sede di Roma dal 07.11.2021 al 06.01.2022 - rif. DTP1205_4</t>
  </si>
  <si>
    <t>13618.76</t>
  </si>
  <si>
    <t>inizio 07/11/2021, ultimazione 06/01/2022</t>
  </si>
  <si>
    <t>12937.82</t>
  </si>
  <si>
    <t>Montaggio urgente condizionatori split a servizio di laboratori ed uffici c/o le sedi di Roma e Viterbo - rif. DTP1571</t>
  </si>
  <si>
    <t>7882.81</t>
  </si>
  <si>
    <t>inizio 02/11/2021, ultimazione 03/12/2021</t>
  </si>
  <si>
    <t>7488.67</t>
  </si>
  <si>
    <t>Risoluzione problematiche impiantistiche cella frigo -20°C sede di Roma - irf. UOM615/21</t>
  </si>
  <si>
    <t>inizio 02/11/2021, ultimazione 09/11/2021</t>
  </si>
  <si>
    <t>Lavorazioni eseguite sull'area esterna, manutenzione avvolgibili, finestre e porte della sede di Arezzo - rif. DTP1638</t>
  </si>
  <si>
    <t>6513.53</t>
  </si>
  <si>
    <t>inizio 02/11/2021, ultimazione 02/12/2021</t>
  </si>
  <si>
    <t>6187.85</t>
  </si>
  <si>
    <t>Trasferimenti vari di arredi ed app.re sede di Roma - rif. UOM607/21</t>
  </si>
  <si>
    <t>1950.0</t>
  </si>
  <si>
    <t>inizio 02/11/2021, ultimazione 04/11/2021</t>
  </si>
  <si>
    <t>1852.5</t>
  </si>
  <si>
    <t>Messa in sicurezza pulsantiere di accensione 2 congelatori laboratorio Chimico sede di Roma - rif. UOM566-567/21</t>
  </si>
  <si>
    <t>590.0</t>
  </si>
  <si>
    <t>inizio 27/10/2021, ultimazione 27/10/2021</t>
  </si>
  <si>
    <t>ODA6420931 Bunsen elettronici Fuego SCS pro</t>
  </si>
  <si>
    <t>03951340722-CHEMIC ALS SRL</t>
  </si>
  <si>
    <t>4603.6</t>
  </si>
  <si>
    <t>inizio 25/10/2021, ultimazione 25/10/2021</t>
  </si>
  <si>
    <t>7082.5</t>
  </si>
  <si>
    <t>Riparazione impianto di depurazione sede di Pisa - rif. DTP1245</t>
  </si>
  <si>
    <t>623.13</t>
  </si>
  <si>
    <t>591.97</t>
  </si>
  <si>
    <t>Antibiotici aminoglicosidici - Tetracicline - Avermectine - Tireostatici</t>
  </si>
  <si>
    <t>03850330360-ORSELL SPA,05515521002-chemical research 2000,07995660581-Spectra 2000 Srl,07672391211-HOSMOTIC SRL,12864800151-vwr international srl,03226210155-Restek S.r.l.,03442910372-LabService Analytica,04052200872-Labochem Science S.r.l.,13209130155-Merck Life Science S.r.l.</t>
  </si>
  <si>
    <t>1350.19</t>
  </si>
  <si>
    <t>inizio 25/10/2021, ultimazione 25/10/2023</t>
  </si>
  <si>
    <t>83.04</t>
  </si>
  <si>
    <t>Riparazione transpallet elettrico PRAMAC in dotazione al laboratorio di Diagnostica Generale della sede di Roma - rif. UOM453/21</t>
  </si>
  <si>
    <t>790.0</t>
  </si>
  <si>
    <t>Anticoagulanti - Antibiotici - Cefalosporine - Nitrofurani e metaboliti nativi e marcati - Nitroimidazoli e matabolidi - Sulfamidici</t>
  </si>
  <si>
    <t>12864800151-vwr international srl,03850330360-ORSELL SPA,03226210155-Restek S.r.l.,13209130155-Merck Life Science S.r.l.,05515521002-chemical research 2000,07995660581-Spectra 2000 Srl,07672391211-HOSMOTIC SRL,03442910372-LabService Analytica,04052200872-Labochem Science S.r.l.</t>
  </si>
  <si>
    <t>9584.85</t>
  </si>
  <si>
    <t>inizio 22/10/2021, ultimazione 22/10/2023</t>
  </si>
  <si>
    <t>1343.03</t>
  </si>
  <si>
    <t>Pulizia disincrostazione corpo valvola e generatore - rif. UOM604</t>
  </si>
  <si>
    <t>04101480657-Althea Srl</t>
  </si>
  <si>
    <t>1470.0</t>
  </si>
  <si>
    <t>inizio 22/10/2021, ultimazione 03/11/2021</t>
  </si>
  <si>
    <t>1396.5</t>
  </si>
  <si>
    <t>Trasferimento congelatore orizzontale mod. GTS 4763 DTP2003 dalla sede di Grosseto alla sede di Siena - rif. UOM560/21</t>
  </si>
  <si>
    <t>550.0</t>
  </si>
  <si>
    <t>inizio 21/10/2021, ultimazione 21/10/2021</t>
  </si>
  <si>
    <t>Sostanze</t>
  </si>
  <si>
    <t>10556.58</t>
  </si>
  <si>
    <t>inizio 21/10/2021, ultimazione 20/10/2024</t>
  </si>
  <si>
    <t>7819.37</t>
  </si>
  <si>
    <t>Conservanti alimentari - Ains - Benzimidazoli - Antibiotici beta-lattamici - Cortisonici - Ormoni</t>
  </si>
  <si>
    <t>05515521002-chemical research 2000,07995660581-Spectra 2000 Srl,07672391211-HOSMOTIC SRL,03850330360-ORSELL SPA,03226210155-Restek S.r.l.,03442910372-LabService Analytica,12864800151-vwr international srl,04052200872-Labochem Science S.r.l.,13209130155-Merck Life Science S.r.l.</t>
  </si>
  <si>
    <t>4153.41</t>
  </si>
  <si>
    <t>inizio 21/10/2021, ultimazione 21/10/2023</t>
  </si>
  <si>
    <t>799.86</t>
  </si>
  <si>
    <t>Attività propedeutica e di supporto alla certificazione del paranco della necroscopia della sede di Roma - rif. UOM584/21</t>
  </si>
  <si>
    <t>1900.0</t>
  </si>
  <si>
    <t>Pulizia meccanica manuale scaricatore condensa intercapedine, generatore di vapore con sostituzione n. 3 resistenze e regolatore livello SIRAI - rif. UOM593</t>
  </si>
  <si>
    <t>2937.0</t>
  </si>
  <si>
    <t>inizio 20/10/2021, ultimazione 23/11/2021</t>
  </si>
  <si>
    <t>2790.15</t>
  </si>
  <si>
    <t>Reagenti utilizzati in biochimica e biologia (per colture cellulari e microbiologiche)</t>
  </si>
  <si>
    <t>01086690581-S.I.A.L. SRL,05706610481-VINCI-BIOCHEM SRL,12864800151-vwr international srl,03442910372-LabService Analytica,10926691006-Aurogene s.r.l.,04437501002-unimed scientifica s.r.l.,03176570723-LAB INSTRUMENTS S.R.L.,04052200872-Labochem Science S.r.l.,07995660581-Spectra 2000 Srl,05515521002-chemical research 2000,12785290151-Agilent Technologies Italia S.p.A.,01802940484-CARLO ERBA REAGENTS SRL,01022690364-EXACTA+OPTECH Labcenter S.p.A.,13209130155-Merck Life Science S.r.l.,00391470580-Chebios,02791720960-Li StarFish,08126390155-EUROCLONE SPA,09802470154-Scharlab Italia srl</t>
  </si>
  <si>
    <t>10594.75</t>
  </si>
  <si>
    <t>inizio 20/10/2021, ultimazione 19/10/2024</t>
  </si>
  <si>
    <t>845.5</t>
  </si>
  <si>
    <t>Coloranti per microscopia</t>
  </si>
  <si>
    <t>01086690581-S.I.A.L. SRL,12864800151-vwr international srl,03442910372-LabService Analytica,08126390155-EUROCLONE SPA,10926691006-Aurogene s.r.l.,04437501002-unimed scientifica s.r.l.,02791720960-Li StarFish,03176570723-LAB INSTRUMENTS S.R.L.,04052200872-Labochem Science S.r.l.,05515521002-chemical research 2000,07995660581-Spectra 2000 Srl,01802940484-CARLO ERBA REAGENTS SRL,00391470580-Chebios,01022690364-EXACTA+OPTECH Labcenter S.p.A.,13209130155-Merck Life Science S.r.l.,05706610481-VINCI-BIOCHEM SRL,12785290151-Agilent Technologies Italia S.p.A.,09802470154-Scharlab Italia srl</t>
  </si>
  <si>
    <t>2635.31</t>
  </si>
  <si>
    <t>inizio 19/10/2021, ultimazione 18/10/2024</t>
  </si>
  <si>
    <t>68.12</t>
  </si>
  <si>
    <t>Sali di grado analitico, per HPLC e per AA e soluzioni volumetriche</t>
  </si>
  <si>
    <t>01086690581-S.I.A.L. SRL,09802470154-Scharlab Italia srl,12864800151-vwr international srl,03442910372-LabService Analytica,08126390155-EUROCLONE SPA,04437501002-unimed scientifica s.r.l.,03176570723-LAB INSTRUMENTS S.R.L.,04052200872-Labochem Science S.r.l.,05515521002-chemical research 2000,07995660581-Spectra 2000 Srl,01022690364-EXACTA+OPTECH Labcenter S.p.A.,01802940484-CARLO ERBA REAGENTS SRL,00391470580-Chebios,02791720960-Li StarFish,05706610481-VINCI-BIOCHEM SRL,12785290151-Agilent Technologies Italia S.p.A.,10926691006-Aurogene s.r.l.,13209130155-Merck Life Science S.r.l.</t>
  </si>
  <si>
    <t>10361.71</t>
  </si>
  <si>
    <t>3650.09</t>
  </si>
  <si>
    <t>Solventi organici di grado analitico per analisi ed acqua per HPLC</t>
  </si>
  <si>
    <t>01086690581-S.I.A.L. SRL,03442910372-LabService Analytica,08126390155-EUROCLONE SPA,04437501002-unimed scientifica s.r.l.,03176570723-LAB INSTRUMENTS S.R.L.,04052200872-Labochem Science S.r.l.,05515521002-chemical research 2000,07995660581-Spectra 2000 Srl,12785290151-Agilent Technologies Italia S.p.A.,01022690364-EXACTA+OPTECH Labcenter S.p.A.,13209130155-Merck Life Science S.r.l.,12864800151-vwr international srl,00391470580-Chebios,01802940484-CARLO ERBA REAGENTS SRL,02791720960-Li StarFish,05706610481-VINCI-BIOCHEM SRL,10926691006-Aurogene s.r.l.,09802470154-Scharlab Italia srl</t>
  </si>
  <si>
    <t>3695.0</t>
  </si>
  <si>
    <t>1153.18</t>
  </si>
  <si>
    <t>Standards per ICP e IC</t>
  </si>
  <si>
    <t>01086690581-S.I.A.L. SRL,09802470154-Scharlab Italia srl,12864800151-vwr international srl,03442910372-LabService Analytica,08126390155-EUROCLONE SPA,04437501002-unimed scientifica s.r.l.,02791720960-Li StarFish,03176570723-LAB INSTRUMENTS S.R.L.,04052200872-Labochem Science S.r.l.,05515521002-chemical research 2000,07995660581-Spectra 2000 Srl,01022690364-EXACTA+OPTECH Labcenter S.p.A.,00391470580-Chebios,05706610481-VINCI-BIOCHEM SRL,01802940484-CARLO ERBA REAGENTS SRL,12785290151-Agilent Technologies Italia S.p.A.,10926691006-Aurogene s.r.l.,13209130155-Merck Life Science S.r.l.</t>
  </si>
  <si>
    <t>00391470580-Chebios</t>
  </si>
  <si>
    <t>3424.0</t>
  </si>
  <si>
    <t>776.7</t>
  </si>
  <si>
    <t xml:space="preserve"> Reagenti Indicatori di pH e Derivatizzanti</t>
  </si>
  <si>
    <t>01086690581-S.I.A.L. SRL,12864800151-vwr international srl,03442910372-LabService Analytica,08126390155-EUROCLONE SPA,10926691006-Aurogene s.r.l.,04437501002-unimed scientifica s.r.l.,02791720960-Li StarFish,03176570723-LAB INSTRUMENTS S.R.L.,04052200872-Labochem Science S.r.l.,07995660581-Spectra 2000 Srl,05515521002-chemical research 2000,01802940484-CARLO ERBA REAGENTS SRL,13209130155-Merck Life Science S.r.l.,01022690364-EXACTA+OPTECH Labcenter S.p.A.,00391470580-Chebios,05706610481-VINCI-BIOCHEM SRL,12785290151-Agilent Technologies Italia S.p.A.,09802470154-Scharlab Italia srl</t>
  </si>
  <si>
    <t>1422.42</t>
  </si>
  <si>
    <t>572.5</t>
  </si>
  <si>
    <t>Acidi e basi di grado analitico e soluzioni volumetriche</t>
  </si>
  <si>
    <t>03442910372-LabService Analytica,05706610481-VINCI-BIOCHEM SRL,04437501002-unimed scientifica s.r.l.,02791720960-Li StarFish,03176570723-LAB INSTRUMENTS S.R.L.,04052200872-Labochem Science S.r.l.,12785290151-Agilent Technologies Italia S.p.A.,05515521002-chemical research 2000,07995660581-Spectra 2000 Srl,01802940484-CARLO ERBA REAGENTS SRL,01022690364-EXACTA+OPTECH Labcenter S.p.A.,01086690581-S.I.A.L. SRL,08126390155-EUROCLONE SPA,12864800151-vwr international srl,00391470580-Chebios,13209130155-Merck Life Science S.r.l.,10926691006-Aurogene s.r.l.,09802470154-Scharlab Italia srl</t>
  </si>
  <si>
    <t>6561.29</t>
  </si>
  <si>
    <t>1969.33</t>
  </si>
  <si>
    <t>Trasferimento centrifuga refrigerata da pavimento dalla sede di Roma a Tor Vergata - rif. UOM562/21</t>
  </si>
  <si>
    <t>650.0</t>
  </si>
  <si>
    <t>inizio 15/10/2021, ultimazione 15/10/2021</t>
  </si>
  <si>
    <t>Ritiro per smaltimento app.re dal laboratorio Tor Vergata all'isola ecologia della sede di Roma - rif. UOM543/21</t>
  </si>
  <si>
    <t>Betagonisti - Coccidiostatici - Coloranti organici ad azione antibatterica per acquacoltura - Tranquillanti</t>
  </si>
  <si>
    <t>12864800151-vwr international srl,03850330360-ORSELL SPA,05515521002-chemical research 2000,07995660581-Spectra 2000 Srl,04052200872-Labochem Science S.r.l.,03442910372-LabService Analytica,03226210155-Restek S.r.l.,07672391211-HOSMOTIC SRL,13209130155-Merck Life Science S.r.l.</t>
  </si>
  <si>
    <t>8349.5</t>
  </si>
  <si>
    <t>inizio 15/10/2021, ultimazione 15/10/2023</t>
  </si>
  <si>
    <t>6612.63</t>
  </si>
  <si>
    <t>Trasferimenti e riposizionamenti app.re ed arredi presso ed. 4 sede di Roma - rif. UOM561/21</t>
  </si>
  <si>
    <t>Prodotti per reazioni di clonaggio e agenti per PCR</t>
  </si>
  <si>
    <t>12317560154-Promega Italia S.r.l.,07484470153-DBA ITALIA SRL,08126390155-EUROCLONE SPA,05158401009-RESNOVASRL,01802940484-CARLO ERBA REAGENTS SRL,12864800151-vwr international srl,13209130155-Merck Life Science S.r.l.,12792100153-LIFE TECHNOLOGIES ITALIA FIL. LIFE TECHNOLOGIES EUROPE BV</t>
  </si>
  <si>
    <t>4368.52</t>
  </si>
  <si>
    <t>inizio 11/10/2021, ultimazione 11/10/2022</t>
  </si>
  <si>
    <t>229.4</t>
  </si>
  <si>
    <t>Prodotti per sequenziamento e reazione a catena di polimerasi</t>
  </si>
  <si>
    <t>12317560154-Promega Italia S.r.l.,08126390155-EUROCLONE SPA,12864800151-vwr international srl,12792100153-LIFE TECHNOLOGIES ITALIA FIL. LIFE TECHNOLOGIES EUROPE BV,13209130155-Merck Life Science S.r.l.,05158401009-RESNOVASRL,07484470153-DBA ITALIA SRL,01802940484-CARLO ERBA REAGENTS SRL</t>
  </si>
  <si>
    <t>1792.0</t>
  </si>
  <si>
    <t>65.0</t>
  </si>
  <si>
    <t>Trasferimenti e riposizionamenti app.re ed arredi presso ed. 4 sede di Roma - rif. UOM501/21</t>
  </si>
  <si>
    <t>1890.0</t>
  </si>
  <si>
    <t>inizio 11/10/2021, ultimazione 11/10/2021</t>
  </si>
  <si>
    <t>Manutenzione straordinaria impianto di climatizzazione, impianti idrici, scarichi ed impianti elettrici sede di Roma - rif. DTP1266-1328-1332-1333-1271-1393-1471</t>
  </si>
  <si>
    <t>5945.3</t>
  </si>
  <si>
    <t>inizio 08/10/2021, ultimazione 20/10/2021</t>
  </si>
  <si>
    <t>Eliminazione problematiche urgenti su impianti elettrici e di cdz sedi regione Toscana - rif. DTP1463</t>
  </si>
  <si>
    <t>2047.07</t>
  </si>
  <si>
    <t>Riparazione in urgenza impianto Osmosi per improvvisa perdita d'acqua locali distribuzione idrica sede di Roma - rif. UOM491/21</t>
  </si>
  <si>
    <t>1550.0</t>
  </si>
  <si>
    <t>inizio 07/10/2021, ultimazione 07/10/2021</t>
  </si>
  <si>
    <t>Ritiro per smaltimento app.ra con mezzo furgonato dal laboratorio chimico della sede di Firenze - rif. UOM583/21</t>
  </si>
  <si>
    <t>480.0</t>
  </si>
  <si>
    <t>inizio 05/10/2021, ultimazione 05/10/2021</t>
  </si>
  <si>
    <t>Manutenzione preventiva strumento in garanzia Analizzatore Automatico per Immunochimica - rif. UOM457/21</t>
  </si>
  <si>
    <t>inizio 05/10/2021, ultimazione 05/01/2022</t>
  </si>
  <si>
    <t>Neonicotinoidi - Alcalodi - Standard per spettrometria di massa</t>
  </si>
  <si>
    <t>03850330360-ORSELL SPA,05515521002-chemical research 2000,07995660581-Spectra 2000 Srl,07672391211-HOSMOTIC SRL,12864800151-vwr international srl,04052200872-Labochem Science S.r.l.,03226210155-Restek S.r.l.,03442910372-LabService Analytica,13209130155-Merck Life Science S.r.l.</t>
  </si>
  <si>
    <t>1283.5</t>
  </si>
  <si>
    <t>inizio 04/10/2021, ultimazione 04/10/2023</t>
  </si>
  <si>
    <t>1359.23</t>
  </si>
  <si>
    <t>Riparazione lavavetrerie sede di Viterbo - rif. UOM554/21</t>
  </si>
  <si>
    <t>440.0</t>
  </si>
  <si>
    <t>inizio 01/10/2021, ultimazione 01/10/2021</t>
  </si>
  <si>
    <t>418.0</t>
  </si>
  <si>
    <t>Riparazione impianto cella di refrigerazione c/o Diagnostica Generale della sede di Roma - rif. UOM556/21</t>
  </si>
  <si>
    <t>1300.0</t>
  </si>
  <si>
    <t>Servizio di tesoreria per anni 2</t>
  </si>
  <si>
    <t>01153230360-BPERBANCA SPA</t>
  </si>
  <si>
    <t>95600.0</t>
  </si>
  <si>
    <t>inizio 01/10/2021, ultimazione 30/09/2023</t>
  </si>
  <si>
    <t>6750.0</t>
  </si>
  <si>
    <t>Verifica e manutenzione scambiatore di calore c/o ed. 4 sotto grata sotterranea sede di Roma - rif. UOM547/21</t>
  </si>
  <si>
    <t>350.0</t>
  </si>
  <si>
    <t>inizio 30/09/2021, ultimazione 30/09/2021</t>
  </si>
  <si>
    <t>Sostituzione linea elettrica (per aumento assorbimenti) a servizio dei congelatori della sede di Rieti ed installazione nuove prese elettriche necessarie per la sede di Viterbo - rif. DTP1642-1643</t>
  </si>
  <si>
    <t>1545.35</t>
  </si>
  <si>
    <t>inizio 29/09/2021, ultimazione 04/10/2021</t>
  </si>
  <si>
    <t xml:space="preserve">Fornitura di terreno di coltura Chromagar e reagenti per analisi in tracce </t>
  </si>
  <si>
    <t>6444.46</t>
  </si>
  <si>
    <t>inizio 27/09/2021, ultimazione 27/09/2022</t>
  </si>
  <si>
    <t>4975.42</t>
  </si>
  <si>
    <t>Fornitura annuale enzimi di restrizione</t>
  </si>
  <si>
    <t>881.19</t>
  </si>
  <si>
    <t>inizio 23/09/2021, ultimazione 23/09/2022</t>
  </si>
  <si>
    <t>406.94</t>
  </si>
  <si>
    <t>Fornitura triennale provette di quarto confezionate in scatole-portaprovette</t>
  </si>
  <si>
    <t>06815091001-Securlab srl,01857820284-CLINI-LAB SRL,01794050151-LP ITALIANA</t>
  </si>
  <si>
    <t>2250.0</t>
  </si>
  <si>
    <t>inizio 23/09/2021, ultimazione 23/09/2024</t>
  </si>
  <si>
    <t>Pulizia chimica collettori di scarico con DICAL disincrostante - rif. UOM487</t>
  </si>
  <si>
    <t>3126.0</t>
  </si>
  <si>
    <t>inizio 21/09/2021, ultimazione 23/11/2021</t>
  </si>
  <si>
    <t>2969.7</t>
  </si>
  <si>
    <t>RDO2844441 Fornitura di pipettatori per pipette 1 a 100 ml</t>
  </si>
  <si>
    <t>04891320014-ENRICO BRUNO SRL,01086690581-S.I.A.L. SRL,01870870548-STEROGLASS S.R.L.,12864800151-vwr international srl,02173800281-Biosigma,08948430965-FISHER SCIENTIFIC SAS</t>
  </si>
  <si>
    <t>13027.1</t>
  </si>
  <si>
    <t>inizio 21/09/2021, ultimazione 27/09/2021</t>
  </si>
  <si>
    <t>4760.0</t>
  </si>
  <si>
    <t>Fornitura biennale di quechers  custom per determinazione dei pesticidi</t>
  </si>
  <si>
    <t>01802940484-CARLO ERBA REAGENTS SRL,03586820650-Avantech Group srl,03226210155-Restek S.r.l.,04756320273-D.T.O. S.R.L.,12785290151-Agilent Technologies Italia S.p.A.,01463800035-C.P.S. Analitica SRL,02691021204-PHENOMENEX</t>
  </si>
  <si>
    <t>01463800035-C.P.S. Analitica SRL</t>
  </si>
  <si>
    <t>23426.5</t>
  </si>
  <si>
    <t>inizio 20/09/2021, ultimazione 20/09/2023</t>
  </si>
  <si>
    <t>3066.5</t>
  </si>
  <si>
    <t>Fornitura triennale di prodotti per pulizie</t>
  </si>
  <si>
    <t>05371121004-A.C.ESSE,08397890586-ERREBIAN,05626031008-SP MED SRL,12467671009-MV Medical srl</t>
  </si>
  <si>
    <t>18498.6</t>
  </si>
  <si>
    <t>inizio 17/09/2021, ultimazione 17/09/2024</t>
  </si>
  <si>
    <t>10971.25</t>
  </si>
  <si>
    <t>Fornitura biennale di piastre micrometodi 96 pozzetti fondo U e V</t>
  </si>
  <si>
    <t>15722.8</t>
  </si>
  <si>
    <t>inizio 17/09/2021, ultimazione 17/09/2023</t>
  </si>
  <si>
    <t>5199.0</t>
  </si>
  <si>
    <t>Fornitura triennale di rotoli con soffietto per sterilizzazione</t>
  </si>
  <si>
    <t>8570.6</t>
  </si>
  <si>
    <t>inizio 15/09/2021, ultimazione 15/09/2024</t>
  </si>
  <si>
    <t>2897.14</t>
  </si>
  <si>
    <t>Trasferimento analizzatore automatico dalla sede di Siena a Roma - rif. UOM605/21</t>
  </si>
  <si>
    <t>780.0</t>
  </si>
  <si>
    <t>inizio 14/09/2021, ultimazione 14/09/2021</t>
  </si>
  <si>
    <t>741.0</t>
  </si>
  <si>
    <t>Fornitura annuale di standards Cil</t>
  </si>
  <si>
    <t>10631.4</t>
  </si>
  <si>
    <t>inizio 14/09/2021, ultimazione 14/09/2022</t>
  </si>
  <si>
    <t>7554.02</t>
  </si>
  <si>
    <t>Trasferimento cappe biologiche e riposizionamenti Millipore sede di Roma - rif. UOM450/21</t>
  </si>
  <si>
    <t>inizio 13/09/2021, ultimazione 14/09/2021</t>
  </si>
  <si>
    <t>2755.0</t>
  </si>
  <si>
    <t>Fornitura di kit test di agglutinazione rapida e test dell'ossidasi su colture batteriche</t>
  </si>
  <si>
    <t>6206.1</t>
  </si>
  <si>
    <t>inizio 13/09/2021, ultimazione 13/09/2022</t>
  </si>
  <si>
    <t>1230.91</t>
  </si>
  <si>
    <t>Riparazione impianto di refrigerazione cella frigo +4°C DTP1222 c/o laboratorio necroscopia della sede di Roma - rif. UOM464/21</t>
  </si>
  <si>
    <t>inizio 10/09/2021, ultimazione 10/09/2021</t>
  </si>
  <si>
    <t>Riparazione impianto di refrigerazione cella frigo DTP0636 c/o Diagnostica Generale della sede di Roma - rif. UOM466/21</t>
  </si>
  <si>
    <t>inizio 08/09/2021, ultimazione 08/09/2021</t>
  </si>
  <si>
    <t>Riparazione impianto di refrigerazione cella frigo DTP3408 accettazione della sede di Roma - rif. UOM463/21</t>
  </si>
  <si>
    <t>29941.45</t>
  </si>
  <si>
    <t>inizio 07/09/2021, ultimazione 07/09/2022</t>
  </si>
  <si>
    <t>21379.0</t>
  </si>
  <si>
    <t>22404.55</t>
  </si>
  <si>
    <t>8231.15</t>
  </si>
  <si>
    <t>Fornitura di terreni e reagenti</t>
  </si>
  <si>
    <t>7388.32</t>
  </si>
  <si>
    <t>1950.14</t>
  </si>
  <si>
    <t>Canone noleggio bagni chimici area covid19 sede di Roma dal 07.09.2021 al 06.11.2021 - rif. DTP1205_3</t>
  </si>
  <si>
    <t>20428.14</t>
  </si>
  <si>
    <t>inizio 07/09/2021, ultimazione 11/11/2021</t>
  </si>
  <si>
    <t>19406.73</t>
  </si>
  <si>
    <t>Sostituzione n° 2 bolier di acqua calda sanitaria con accessori, riparazione caldaia, controllo bruciatori e regolazione sede di Roma - rif. DTP1427</t>
  </si>
  <si>
    <t>6948.69</t>
  </si>
  <si>
    <t>inizio 06/09/2021, ultimazione 06/12/2021</t>
  </si>
  <si>
    <t>6601.26</t>
  </si>
  <si>
    <t>Trasferimenti e riposizionamenti app.re e mobilio dal lab latte al nuovo lab autocontrollo - rif. UOM410/21</t>
  </si>
  <si>
    <t>inizio 02/09/2021, ultimazione 06/09/2021</t>
  </si>
  <si>
    <t>Fornitura annuale di materiali di consumo per strumento Leica</t>
  </si>
  <si>
    <t>11278.91</t>
  </si>
  <si>
    <t>inizio 02/09/2021, ultimazione 02/09/2022</t>
  </si>
  <si>
    <t>6156.76</t>
  </si>
  <si>
    <t>Manutenzione impianti di depurazione di Roma, Pisa e Viterbo set-dic 2021</t>
  </si>
  <si>
    <t>7233.04</t>
  </si>
  <si>
    <t>inizio 01/09/2021, ultimazione 31/12/2021</t>
  </si>
  <si>
    <t>6871.38</t>
  </si>
  <si>
    <t>Manutenzione Ordinaria opere edili mesi di settembre-ottobre 2021</t>
  </si>
  <si>
    <t>8653.29</t>
  </si>
  <si>
    <t>inizio 01/09/2021, ultimazione 31/10/2021</t>
  </si>
  <si>
    <t>8220.63</t>
  </si>
  <si>
    <t>Kit Elisa anticorpi ruminanti Neospora caninum</t>
  </si>
  <si>
    <t>07484470153-DBA ITALIA SRL,47812321900022-Innovative Diagnostics SARL,01152200018-AGROLABO SPA,03898780378-TEMA RICERCA SRL,07146020586-Biomerieux Italia Spa,02791720960-Li StarFish,12032450152-Idexx Laboratories Italia srl</t>
  </si>
  <si>
    <t>3571.12</t>
  </si>
  <si>
    <t>inizio 30/08/2021, ultimazione 30/08/2023</t>
  </si>
  <si>
    <t>752.64</t>
  </si>
  <si>
    <t>Kit Elisa anticorpi ruminanti Chlamydophila abortus</t>
  </si>
  <si>
    <t>3626.48</t>
  </si>
  <si>
    <t>823.68</t>
  </si>
  <si>
    <t>Fornitura di prodotti per attività NGS - HTS Illumina</t>
  </si>
  <si>
    <t>273717.68</t>
  </si>
  <si>
    <t>inizio 30/08/2021, ultimazione 15/02/2022</t>
  </si>
  <si>
    <t>164029.03</t>
  </si>
  <si>
    <t xml:space="preserve">Kit Elisa anticorpi ovini e caprini Mycoplasma agalactiae </t>
  </si>
  <si>
    <t>07484470153-DBA ITALIA SRL,01152200018-AGROLABO SPA,47812321900022-Innovative Diagnostics SARL,03898780378-TEMA RICERCA SRL,07146020586-Biomerieux Italia Spa,02791720960-Li StarFish,12032450152-Idexx Laboratories Italia srl</t>
  </si>
  <si>
    <t>632.0</t>
  </si>
  <si>
    <t>151.68</t>
  </si>
  <si>
    <t>Kit Elisa anticorpi ruminanti Coxiella burnetii</t>
  </si>
  <si>
    <t>2963.8</t>
  </si>
  <si>
    <t>974.4</t>
  </si>
  <si>
    <t>Kit Elisa anticorpi Toxoplasma gondii</t>
  </si>
  <si>
    <t>3465.8</t>
  </si>
  <si>
    <t>2139.2</t>
  </si>
  <si>
    <t>Fornitura di terreni di coltura Thermo Fisher Diagnostics</t>
  </si>
  <si>
    <t>32058.26</t>
  </si>
  <si>
    <t>inizio 30/08/2021, ultimazione 30/08/2022</t>
  </si>
  <si>
    <t>9260.39</t>
  </si>
  <si>
    <t>Risoluzione problematiche urgenti sull'impianto di climatizzazione della sede di Latina</t>
  </si>
  <si>
    <t>12337.7</t>
  </si>
  <si>
    <t>inizio 23/08/2021, ultimazione 23/09/2021</t>
  </si>
  <si>
    <t>Canone noleggio bagni chimici area covid19 sede di Roma dal 07.08.2021 al 06.09.2021 - rif. DTP1205_2</t>
  </si>
  <si>
    <t>6809.38</t>
  </si>
  <si>
    <t>inizio 07/08/2021, ultimazione 06/09/2021</t>
  </si>
  <si>
    <t>Fabbricazione ed installazione piano per supporto nuovo serbatoio di produzione acqua pura laboratorio terreni sede di Roma - rif. UOM427/21</t>
  </si>
  <si>
    <t>inizio 06/08/2021, ultimazione 06/08/2021</t>
  </si>
  <si>
    <t>Fornitura triennale di kit Elisa per la ricerca degli anticorpi nei confronti della glicoproteina E(I)del virus della malattia di Aujeszky</t>
  </si>
  <si>
    <t>03898780378-TEMA RICERCA SRL,01152200018-AGROLABO SPA,47812321900022-Innovative Diagnostics SARL,02993600366-Generon SPA,12032450152-Idexx Laboratories Italia srl,07484470153-DBA ITALIA SRL</t>
  </si>
  <si>
    <t>18225.0</t>
  </si>
  <si>
    <t>inizio 05/08/2021, ultimazione 05/08/2024</t>
  </si>
  <si>
    <t>2332.8</t>
  </si>
  <si>
    <t>Trasferimento di n° 2 cappe biologiche DTP2699-1889 dal lab microbiologia a biologia molecolare - rif. UOM406/21</t>
  </si>
  <si>
    <t>3550.0</t>
  </si>
  <si>
    <t>inizio 05/08/2021, ultimazione 05/08/2021</t>
  </si>
  <si>
    <t>Fornitura biennale di kit per identificazione batteri di varia tipologia</t>
  </si>
  <si>
    <t>01080490327-KAIROSafe Srl,01149250159-BIOLIFE ITALIANA S.R.L.,00803890151-BECTON DICKINSON ITALIA SPA,00889160156-Thermo Fisher Diagnostics S.p.A.,07146020586-Biomerieux Italia Spa,00530130673-Liofilchem S.r.l.</t>
  </si>
  <si>
    <t>9995.64</t>
  </si>
  <si>
    <t>inizio 04/08/2021, ultimazione 04/08/2023</t>
  </si>
  <si>
    <t>3410.1</t>
  </si>
  <si>
    <t>Supporto per spostamento arredi a Tor Vergata per predisposizione spazi per installazione nuovo sistema acqua pura - rif. UOM428/21</t>
  </si>
  <si>
    <t>inizio 04/08/2021, ultimazione 04/08/2021</t>
  </si>
  <si>
    <t>Fornitura annuale di kit delvo test in fiale</t>
  </si>
  <si>
    <t>6595.2</t>
  </si>
  <si>
    <t>inizio 03/08/2021, ultimazione 03/08/2022</t>
  </si>
  <si>
    <t>Completamento impiantistico per messa in funzione gascromatografo API 3000 sede di Firenze - rif. UOM409/21</t>
  </si>
  <si>
    <t>inizio 03/08/2021, ultimazione 03/08/2021</t>
  </si>
  <si>
    <t>Fornitura annuale di materiali di consumo per strumento Hamilton</t>
  </si>
  <si>
    <t>06397950962-HAMILTON ITALIA</t>
  </si>
  <si>
    <t>19359.3</t>
  </si>
  <si>
    <t>19364.7</t>
  </si>
  <si>
    <t>Procedura aperta di rilevanza comunitaria ai sensi del Decreto Legislativo 18 aprile 2016, n.50, art.60, per l'affidamento del servizio di trasporto di materiale a rischio biologico, documenti, terreni di coltura, vaccini e materiali diversi per 24 mesi con opzione di rinnovo per ulteriori 24 mesi - CUI S00422420588202000012</t>
  </si>
  <si>
    <t>04176351213-PHSE SRL,01698960547-plurima spa,03661750236-L.S. LOGISTICA SANITARIA SRL,01323640928-SARDA SERVIZI SOC. COOP.,03893361000-TRA.SER,05400500723-Leader Service Società Cooperativa</t>
  </si>
  <si>
    <t>05400500723-Leader Service Società Cooperativa</t>
  </si>
  <si>
    <t>989868.0</t>
  </si>
  <si>
    <t>inizio 01/08/2021, ultimazione 31/07/2025</t>
  </si>
  <si>
    <t>275888.04</t>
  </si>
  <si>
    <t>Riparazione in urgenza impianto di addolcimento locali distribuzione idrica sede di Roma - rif. UOM375/2021</t>
  </si>
  <si>
    <t>2750.0</t>
  </si>
  <si>
    <t>inizio 31/07/2021, ultimazione 31/07/2021</t>
  </si>
  <si>
    <t>Risoluzione problematiche urgenti varie sedi della regione Toscana (installazione cdz e sostituzione pompe gruppi refrigeratori) - rif. DTP1150-1244-1245</t>
  </si>
  <si>
    <t>11571.5</t>
  </si>
  <si>
    <t>inizio 30/07/2021, ultimazione 04/10/2021</t>
  </si>
  <si>
    <t>Fornitura annuale di reagenti per ricerca diossine</t>
  </si>
  <si>
    <t>10855.8</t>
  </si>
  <si>
    <t>inizio 29/07/2021, ultimazione 29/07/2022</t>
  </si>
  <si>
    <t>11067.54</t>
  </si>
  <si>
    <t>RDO2741140 Fornitura triennale di tappi in ovatta di cellulosa per provette</t>
  </si>
  <si>
    <t>05376651005-Bioscientifica,01739430476-BIOCLASS SRL,03951340722-CHEMIC ALS SRL,01022690364-EXACTA+OPTECH Labcenter S.p.A.,02173800281-Biosigma</t>
  </si>
  <si>
    <t>21985.0</t>
  </si>
  <si>
    <t>inizio 27/07/2021, ultimazione 27/07/2024</t>
  </si>
  <si>
    <t>8958.0</t>
  </si>
  <si>
    <t>RDO MEPA APERTA N. 2828640 - FORNITURA BOCCIONI D'ACQUA MONOUSO COMPRENSIVA DEGLI EROGATORI E DEL RELATIVO SERVIZIO DI MANUTENZIONE, SANIFICAZIONE E SOSTITUZIONE AL PIANO PER ANNI QUATTRO</t>
  </si>
  <si>
    <t>03792180980-Acquaviva SpA società benefit,05712111003-H2O SRL,00321300378-CULLIGAN ITALIANA SPA</t>
  </si>
  <si>
    <t>05712111003-H2O SRL</t>
  </si>
  <si>
    <t>28067.8</t>
  </si>
  <si>
    <t>inizio 26/07/2021, ultimazione 25/07/2025</t>
  </si>
  <si>
    <t>7479.0</t>
  </si>
  <si>
    <t>Fornitura biennale di Kit Babesia Caballi e Equi e kit Tridelta</t>
  </si>
  <si>
    <t>26578.0</t>
  </si>
  <si>
    <t>inizio 20/07/2021, ultimazione 20/07/2023</t>
  </si>
  <si>
    <t>17327.0</t>
  </si>
  <si>
    <t>Riparazione impianto di refrigerazione cella frigo +4°C c/o laboratorio necroscopia della sede di Roma - rif. UOM401/21</t>
  </si>
  <si>
    <t>inizio 20/07/2021, ultimazione 06/08/2021</t>
  </si>
  <si>
    <t>Riparazione impianto di refrigerazione cella frigo -8°C PEGO 300 annessa al laboratorio necroscopia della sede di Roma - rif. UOM404/21</t>
  </si>
  <si>
    <t>inizio 20/07/2021, ultimazione 28/07/2021</t>
  </si>
  <si>
    <t>Riparazione impianto di refrigerazione cella frigo DTP3408 c/o Accettazione della sede di Roma - rif. UOM405/21</t>
  </si>
  <si>
    <t>inizio 20/07/2021, ultimazione 20/07/2021</t>
  </si>
  <si>
    <t>RDO2847255 Fornitura annuale buste presto-chiuso varie tipologie</t>
  </si>
  <si>
    <t>01625440928-Microbiol di Sergio Murgia &amp; C. srl,07520900155-APTACA Spa,04527990875-BIOGENERICA SRL,00970300430-CHIMICA CENTRO SNC DI EMILIANO VERDENELLI E C.,00805390283-LABOINDUSTRIA S.p.A.,05376651005-Bioscientifica,06815091001-Securlab srl,04429130877-Omnia Diagnostica srl</t>
  </si>
  <si>
    <t>31753.74</t>
  </si>
  <si>
    <t>inizio 19/07/2021, ultimazione 19/07/2022</t>
  </si>
  <si>
    <t>32172.8</t>
  </si>
  <si>
    <t>Fornitura annuale di prodotti infungibili THERMO FISHER SCIENTIFIC</t>
  </si>
  <si>
    <t>282839.32</t>
  </si>
  <si>
    <t>inizio 14/07/2021, ultimazione 13/07/2022</t>
  </si>
  <si>
    <t>191908.4</t>
  </si>
  <si>
    <t>Trasferimento Termostato Memmert all'interno del laboratorio terreni - rif. UOM347</t>
  </si>
  <si>
    <t>190.0</t>
  </si>
  <si>
    <t>inizio 13/07/2021, ultimazione 13/07/2021</t>
  </si>
  <si>
    <t>Riparazione in urgenza impianto Osmosi locali distribuzione idrica sede di Roma - rif. UOM376/202</t>
  </si>
  <si>
    <t>850.0</t>
  </si>
  <si>
    <t>Riparazione impianto di refrigrazione cella frigo -20°C DTP3403 laboratorio accettazione sede di Roma - rif. UOM343/21</t>
  </si>
  <si>
    <t>inizio 12/07/2021, ultimazione 12/07/2021</t>
  </si>
  <si>
    <t>Trasferimento app.re all'interno del lab. Salute e Benessere Animale, e presso container smaltimento (RM) - rif. UOM351/21</t>
  </si>
  <si>
    <t>Fornitura biennale di terreni di coltura ricerca Mycobacterium spp</t>
  </si>
  <si>
    <t>07246691005-Servizi Diagnostici S.r.l.,00889160156-Thermo Fisher Diagnostics S.p.A.,07146020586-Biomerieux Italia Spa,00803890151-BECTON DICKINSON ITALIA SPA,01625440928-Microbiol di Sergio Murgia &amp; C. srl,01149250159-BIOLIFE ITALIANA S.R.L.</t>
  </si>
  <si>
    <t>2004.8</t>
  </si>
  <si>
    <t>inizio 08/07/2021, ultimazione 08/07/2023</t>
  </si>
  <si>
    <t>688.16</t>
  </si>
  <si>
    <t xml:space="preserve">Fornitura biennale di terreno colturale cromogeno agarizzato Salmonella spp.   </t>
  </si>
  <si>
    <t>07246691005-Servizi Diagnostici S.r.l.,00889160156-Thermo Fisher Diagnostics S.p.A.,07146020586-Biomerieux Italia Spa,00803890151-BECTON DICKINSON ITALIA SPA,01149250159-BIOLIFE ITALIANA S.R.L.,01625440928-Microbiol di Sergio Murgia &amp; C. srl</t>
  </si>
  <si>
    <t>1143.1</t>
  </si>
  <si>
    <t>273.35</t>
  </si>
  <si>
    <t>Canone noleggio bagni chimici area covid19 sede di Roma dal 07.07.2021 al 06.08.2021 - rif. DTP1205</t>
  </si>
  <si>
    <t>inizio 07/07/2021, ultimazione 06/08/2021</t>
  </si>
  <si>
    <t>Adeguamento e supporto alla verifica periodica INAIL autoclave steriliz. CISA mod. 4210 c/o lab. virologia - rif. UOM270/21</t>
  </si>
  <si>
    <t>4980.0</t>
  </si>
  <si>
    <t>inizio 07/07/2021, ultimazione 19/07/2021</t>
  </si>
  <si>
    <t>Servizio di distribuzione azoto liquido c/o i laboratori della sede di Roma - rif. UOM379-407-408/21</t>
  </si>
  <si>
    <t>2000.0</t>
  </si>
  <si>
    <t>inizio 02/07/2021, ultimazione 26/08/2021</t>
  </si>
  <si>
    <t>Realizzazione nuovo impianto elettrico celle frigo di nuova installazione comprenso il gruppo elettrogeno e le prese esterne per i furgoni sede di Arezzo - rif. DTP754-761</t>
  </si>
  <si>
    <t>4504.21</t>
  </si>
  <si>
    <t>inizio 01/07/2021, ultimazione 04/10/2021</t>
  </si>
  <si>
    <t>Manutenzione giornaliera impianti addolcitori e di distribuzione idrica sede di Roma II semstre 2021 compresi consumabili - rif. 713/2021</t>
  </si>
  <si>
    <t>21700.0</t>
  </si>
  <si>
    <t>inizio 01/07/2021, ultimazione 31/12/2021</t>
  </si>
  <si>
    <t>20615.0</t>
  </si>
  <si>
    <t>Fornitura biennale kit Elisa per ricerca Clostridium perfringens</t>
  </si>
  <si>
    <t>00410720288-FOSS ITALIA SRL,07484470153-DBA ITALIA SRL,02791720960-Li StarFish,05706610481-VINCI-BIOCHEM SRL</t>
  </si>
  <si>
    <t>02791720960-Li StarFish</t>
  </si>
  <si>
    <t>13250.0</t>
  </si>
  <si>
    <t>inizio 30/06/2021, ultimazione 30/06/2023</t>
  </si>
  <si>
    <t>2120.0</t>
  </si>
  <si>
    <t>Fornitura ed installazione compressore del tipo OIL FREE per alimentare il nuovo produttore di azoto - rif. UOM274/21</t>
  </si>
  <si>
    <t>8950.0</t>
  </si>
  <si>
    <t>inizio 30/06/2021, ultimazione 30/06/2021</t>
  </si>
  <si>
    <t>Fornitura triennale di kit Elisa ricerca anticorpi glicoproteina B virus BHV-1</t>
  </si>
  <si>
    <t>02993600366-Generon SPA,47812321900022-Innovative Diagnostics SARL,01152200018-AGROLABO SPA,12032450152-Idexx Laboratories Italia srl</t>
  </si>
  <si>
    <t>25800.0</t>
  </si>
  <si>
    <t>inizio 30/06/2021, ultimazione 30/06/2024</t>
  </si>
  <si>
    <t>1857.6</t>
  </si>
  <si>
    <t>Fornitura di termometro a infrarossi con certificato di taratura</t>
  </si>
  <si>
    <t>760.0</t>
  </si>
  <si>
    <t>inizio 28/06/2021, ultimazione 05/07/2021</t>
  </si>
  <si>
    <t>Rimborso costi anticipati pratica noleggio taratura AQUALAB sede di Latina - rif. UOM203/21</t>
  </si>
  <si>
    <t>310.0</t>
  </si>
  <si>
    <t>inizio 28/06/2021, ultimazione 28/06/2021</t>
  </si>
  <si>
    <t>Fornitura triennale reagenti per biologia molecolare</t>
  </si>
  <si>
    <t>05632311212-M&amp;M Biotech S.c.ar.l,12864800151-vwr international srl,01086690581-S.I.A.L. SRL,13209130155-Merck Life Science S.r.l.,04437501002-unimed scientifica s.r.l.,05706610481-VINCI-BIOCHEM SRL,01802940484-CARLO ERBA REAGENTS SRL</t>
  </si>
  <si>
    <t>13993.58</t>
  </si>
  <si>
    <t>inizio 21/06/2021, ultimazione 21/06/2024</t>
  </si>
  <si>
    <t>3448.8</t>
  </si>
  <si>
    <t>Adeguamento sanitario interno dei bagni della sezione di Viterbo - rif. DTP813</t>
  </si>
  <si>
    <t>4762.65</t>
  </si>
  <si>
    <t>inizio 16/06/2021, ultimazione 10/09/2021</t>
  </si>
  <si>
    <t>ODA n. 6210390 per la fornitura di n.7 sistemi e strumenti di purificazione dell'acqua, della ditta MERCK LIFE SCIENCE ai sensi dell'art. 63 comma 2 lettera c), del Decreto Legislativo 18 aprile 2016, n. 50</t>
  </si>
  <si>
    <t>73820.0</t>
  </si>
  <si>
    <t>inizio 16/06/2021, ultimazione 16/06/2021</t>
  </si>
  <si>
    <t>49434.08</t>
  </si>
  <si>
    <t>Manutenzione straordinaria in ambito di prevenzione e sicurezza nei luoghi di lavoro sede di Pisa - rif. prot. int. 827</t>
  </si>
  <si>
    <t>13251.04</t>
  </si>
  <si>
    <t>inizio 15/06/2021, ultimazione 10/09/2021</t>
  </si>
  <si>
    <t>Trasferimento e riposizionamento congelatore -80 Thermo a doppia anta dalla sede di Roma a Tor Vergata - rif. UOM294/21</t>
  </si>
  <si>
    <t>inizio 15/06/2021, ultimazione 15/06/2021</t>
  </si>
  <si>
    <t>Sostituzione urgente del motore del gruppo refrigeratore della sede di Rieti - rif.DTP910</t>
  </si>
  <si>
    <t>08211700581-Aerclima Impianti S.r.l.</t>
  </si>
  <si>
    <t>12200.0</t>
  </si>
  <si>
    <t>inizio 15/06/2021, ultimazione 11/08/2021</t>
  </si>
  <si>
    <t>Intervento su impianto idrico di supporto Analizzatore Olympus laboratorio Salute e Benessere Animale sede di Roma - rif. UOM320/21</t>
  </si>
  <si>
    <t>370.0</t>
  </si>
  <si>
    <t>inizio 11/06/2021, ultimazione 11/06/2021</t>
  </si>
  <si>
    <t>TD MEPA N. 1709575 - Procedura di gara ai sensi dell'art. 36, comma 2, lett. a) del Decreto Legislativo 18 aprile 2016, n. 50 per l'affidamento del servizio di sequenziamento di materiale genetico per 36 mesi</t>
  </si>
  <si>
    <t>96444560583-MACROGEN EUROPE B.V.</t>
  </si>
  <si>
    <t>35120.0</t>
  </si>
  <si>
    <t>inizio 11/06/2021, ultimazione 11/06/2024</t>
  </si>
  <si>
    <t>Manutenzione straordinaria per lo spostamento del laboratorio di Biologia Molecolare al piano primo dell'UOT Toscana Sud - rif. DTP809-851</t>
  </si>
  <si>
    <t>16394.73</t>
  </si>
  <si>
    <t>inizio 11/06/2021, ultimazione 10/09/2021</t>
  </si>
  <si>
    <t>RDO2785280 Fornitura triennale di provette sterili da centrifuga in PP e PS</t>
  </si>
  <si>
    <t>12657941006-CLINISCIENCES SRL UNIPERSONALE,DGVGLI72A25A944G-DI GIOVANNI S.r.l.,01022690364-EXACTA+OPTECH Labcenter S.p.A.,15352921009-Lab Creator Srl,03176570723-LAB INSTRUMENTS S.R.L.,01086690581-S.I.A.L. SRL,02173800281-Biosigma,VSCRRT69D02E054C-SCIENCE TOOLS,10767630154-EPPENDORF SRL.,03450130285-VACUTEST KIMA SRL,12864800151-vwr international srl,13023610150-Starlab Srl</t>
  </si>
  <si>
    <t>39480.0</t>
  </si>
  <si>
    <t>inizio 09/06/2021, ultimazione 09/06/2024</t>
  </si>
  <si>
    <t>16971.0</t>
  </si>
  <si>
    <t>Canone noleggio bagni chimici area covid19 sede di Roma dal 07.06.2021 al 06.07.2021 - rif. DTP518_2</t>
  </si>
  <si>
    <t>inizio 07/06/2021, ultimazione 06/07/2021</t>
  </si>
  <si>
    <t>Fornitura annuale scatole plastica con coperchio in policarbonato e polipropilene</t>
  </si>
  <si>
    <t>12864800151-vwr international srl,15352921009-Lab Creator Srl,02173800281-Biosigma,04437501002-unimed scientifica s.r.l.,11276961007-MICRO LAB EQUIPMENT SRL,13023610150-Starlab Srl,01802940484-CARLO ERBA REAGENTS SRL,05158401009-RESNOVASRL</t>
  </si>
  <si>
    <t>5542.26</t>
  </si>
  <si>
    <t>inizio 04/06/2021, ultimazione 04/06/2022</t>
  </si>
  <si>
    <t>13677.7</t>
  </si>
  <si>
    <t>Intervento su apparecchiature in garanzia Incubatore CO2 Thermo laboratorio Virologia sede di Roma - rif. UOM303/21</t>
  </si>
  <si>
    <t>290.0</t>
  </si>
  <si>
    <t>inizio 01/06/2021, ultimazione 01/06/2021</t>
  </si>
  <si>
    <t>Impiantistica per collegamento sonda di rilevamento temperature da remoto frigo verticale accettazione sede di Roma - rif. UOM296/21</t>
  </si>
  <si>
    <t>280.0</t>
  </si>
  <si>
    <t>Pulizia circuito con azoto, sostituzione filtro, aggiunta valvolino di ricarica, ricarica refrigerante a norma messa in pressione impianto - rif. UOM281</t>
  </si>
  <si>
    <t>340.0</t>
  </si>
  <si>
    <t>inizio 31/05/2021, ultimazione 16/06/2021</t>
  </si>
  <si>
    <t>323.0</t>
  </si>
  <si>
    <t>Interventi di manutenzione degli impianti elevatori delle sedi del Lazio - rif. DTP1334</t>
  </si>
  <si>
    <t>3711.0</t>
  </si>
  <si>
    <t>inizio 21/05/2021, ultimazione 27/09/2021</t>
  </si>
  <si>
    <t>Ripristino sistema di chiusura cella frigo -2°C e cella frigo -8°C edificio 6 - rif. UOM285/21</t>
  </si>
  <si>
    <t>inizio 21/05/2021, ultimazione 21/05/2021</t>
  </si>
  <si>
    <t>Riparazione impianto di refrigerazione cella frigo n° 5 celle frigo esterne della sede di Roma - rif. UOM275/21</t>
  </si>
  <si>
    <t>Ricerca e sistemazione perdita acqua edificio 1 e sistemazione scaffalature ed. 8 sede di Roma - rif. DTP781</t>
  </si>
  <si>
    <t>9371.7</t>
  </si>
  <si>
    <t>inizio 19/05/2021, ultimazione 01/07/2021</t>
  </si>
  <si>
    <t>Eliminazione problematiche prescrizione USL Pisa (sala mensa e locali limitrofi) - rif. DTP497</t>
  </si>
  <si>
    <t>27127.16</t>
  </si>
  <si>
    <t>inizio 18/05/2021, ultimazione 24/06/2021</t>
  </si>
  <si>
    <t>Riparazione impianto di Osmosi c/o locali idrici sede di Roma - rif. UOM220/21</t>
  </si>
  <si>
    <t>inizio 18/05/2021, ultimazione 18/05/2021</t>
  </si>
  <si>
    <t>Ripristino bilancia analitica Sartorius - rif. UOM246/21</t>
  </si>
  <si>
    <t>Adeguamento normativo a seguito di prescrizione ASL Nord Ovest sede di Pisa - rif. DTP39</t>
  </si>
  <si>
    <t>29650.52</t>
  </si>
  <si>
    <t>inizio 14/05/2021, ultimazione 28/06/2021</t>
  </si>
  <si>
    <t>Convenzione con la Società Ellisse s.r.l. quale organismo abilitato dal Ministero delle Attività Produttive per il controllo periodico degli impianti di cui al DPR 462/01 e DL 162/19</t>
  </si>
  <si>
    <t>08427870012-Ellisse srl</t>
  </si>
  <si>
    <t>5150.0</t>
  </si>
  <si>
    <t>inizio 11/05/2021, ultimazione 01/12/2021</t>
  </si>
  <si>
    <t>500.0</t>
  </si>
  <si>
    <t>Fornitura biennale polimerasi di One-Step Real Time RT-PCR Master Mix</t>
  </si>
  <si>
    <t>12792100153-LIFE TECHNOLOGIES ITALIA FIL. LIFE TECHNOLOGIES EUROPE BV,05376651005-Bioscientifica,00914480587-SOCIETA' ITALIANA CHIMICI DIVISIONE SCIENTIFICA SRL UNIPERSONALE,01086690581-S.I.A.L. SRL,08126390155-EUROCLONE SPA,13110270157-Qiagen,13209130155-Merck Life Science S.r.l.,11372271004-Bionova Technologies s.r.l.,02993600366-Generon SPA,05158401009-RESNOVASRL</t>
  </si>
  <si>
    <t>28980.0</t>
  </si>
  <si>
    <t>inizio 10/05/2021, ultimazione 10/05/2023</t>
  </si>
  <si>
    <t>44863.2</t>
  </si>
  <si>
    <t>00209070168-S.I.A.D. S.p.A.,10926691006-Aurogene s.r.l.,08418350966-RIVOIRA GAS SRL</t>
  </si>
  <si>
    <t>31900.0</t>
  </si>
  <si>
    <t>inizio 10/05/2021, ultimazione 09/05/2023</t>
  </si>
  <si>
    <t>31621.64</t>
  </si>
  <si>
    <t>Canone noleggio bagni chimici area covid c/o Fonte Appia dal 07.05.2021 al 06.06.2021 - rif. DTP518_1</t>
  </si>
  <si>
    <t>6813.67</t>
  </si>
  <si>
    <t>inizio 07/05/2021, ultimazione 06/06/2021</t>
  </si>
  <si>
    <t>Trasferimento e riposizionamento armadio di sicurezza a doppia anta da Grossto a Latina - rif. UOM240/21</t>
  </si>
  <si>
    <t>inizio 06/05/2021, ultimazione 06/05/2021</t>
  </si>
  <si>
    <t>Pulizia meccanica manuale generatore di vapore con sostituzione n. 3 resistenze e regolatore livello SIRAI - rif. UOM193</t>
  </si>
  <si>
    <t>2426.0</t>
  </si>
  <si>
    <t>inizio 04/05/2021, ultimazione 04/05/2021</t>
  </si>
  <si>
    <t>2304.7</t>
  </si>
  <si>
    <t>Trasferimenti e riposizionamenti interni frigo biologici c/o la sede di Firenze - rif. UOM224/21</t>
  </si>
  <si>
    <t>inizio 29/04/2021, ultimazione 29/04/2021</t>
  </si>
  <si>
    <t>Sostituzione urgente centralino telefonico non funzionante - rif. DTP584 (GR)</t>
  </si>
  <si>
    <t>3700.0</t>
  </si>
  <si>
    <t>inizio 24/04/2021, ultimazione 04/06/2021</t>
  </si>
  <si>
    <t>Riparazione impianto di refrigerazione cella frigo ACC 003 -20°C c/o Accettazione della sede di Roma - rif. UOM172/21</t>
  </si>
  <si>
    <t>inizio 23/04/2021, ultimazione 23/04/2021</t>
  </si>
  <si>
    <t>Riparazione impianto di refrigerazione cella frigo n° 6 celle frigo esterne della sede di Roma - rif. UOM197/21</t>
  </si>
  <si>
    <t>Riparazione sistemi di chiusura celle frigo laboratorio accettazione sede di Roma - rif. UOM194/21</t>
  </si>
  <si>
    <t>Fornitura biennale di Iproof high-fidelity Master mix DNA polimerasi</t>
  </si>
  <si>
    <t>13209130155-Merck Life Science S.r.l.,07484470153-DBA ITALIA SRL,00801720152-BIO - RAD LABORATORIES  SRL,00914480587-SOCIETA' ITALIANA CHIMICI DIVISIONE SCIENTIFICA SRL UNIPERSONALE</t>
  </si>
  <si>
    <t>00914480587-SOCIETA' ITALIANA CHIMICI DIVISIONE SCIENTIFICA SRL UNIPERSONALE</t>
  </si>
  <si>
    <t>5700.0</t>
  </si>
  <si>
    <t>inizio 13/04/2021, ultimazione 13/04/2023</t>
  </si>
  <si>
    <t>150.0</t>
  </si>
  <si>
    <t>Intervento su apparecchiatura in garanzia Incubatore CO2 THERMO matr. 42554639 laboratorio virologia - rif. UOM67/21</t>
  </si>
  <si>
    <t>inizio 09/04/2021, ultimazione 09/04/2021</t>
  </si>
  <si>
    <t>Canone noleggio bagni chimici area covid c/o Fonte Appia dal 07.04.2021 al 06.05.2021 - rif. DTP518</t>
  </si>
  <si>
    <t>12084.46</t>
  </si>
  <si>
    <t>inizio 07/04/2021, ultimazione 06/05/2021</t>
  </si>
  <si>
    <t>Fornitura biennale plasticheria PCR-Real Time PCR per apparecchiature Applied Biosystems (ABI)</t>
  </si>
  <si>
    <t>10767630154-EPPENDORF SRL.,04928241001-3V CHIMICA SRL,11303391004-BIO-CELL S.r.l.,01086690581-S.I.A.L. SRL,12864800151-vwr international srl,13023610150-Starlab Srl,05376651005-Bioscientifica,10282490159-THERMO FISHER SCIENTIFIC MILANO s.r.l.,08948430965-FISHER SCIENTIFIC SAS,02173800281-Biosigma,05158401009-RESNOVASRL</t>
  </si>
  <si>
    <t>48166.4</t>
  </si>
  <si>
    <t>inizio 06/04/2021, ultimazione 06/04/2023</t>
  </si>
  <si>
    <t>7518.8</t>
  </si>
  <si>
    <t>Lavori urgenti a seguito verbale ASL Toscana Nord Ovest e rifacimento parziale del rivestimento in mattonelle dei laboratori (n° 4 laboratori) - Sede di Pisa</t>
  </si>
  <si>
    <t>11050371001-tecnoimpiantistica edilizia srl</t>
  </si>
  <si>
    <t>11293.77</t>
  </si>
  <si>
    <t>inizio 31/03/2021, ultimazione 30/04/2021</t>
  </si>
  <si>
    <t>Smontaggio per dismissione sistema di produzione Acqua Pura Millipore ELIX 5 e relativo serbatoio Anatomoistopatologia sede di Roma - rif. UOM145/21</t>
  </si>
  <si>
    <t>inizio 31/03/2021, ultimazione 31/03/2021</t>
  </si>
  <si>
    <t>Fornitura biennale plasticheria PCR-Real Time PCR per apparecchiature CFX96 BioRad</t>
  </si>
  <si>
    <t>10282490159-THERMO FISHER SCIENTIFIC MILANO s.r.l.,13209130155-Merck Life Science S.r.l.,12657941006-CLINISCIENCES SRL UNIPERSONALE,12864800151-vwr international srl,02993600366-Generon SPA,00695940213-Sarstedt S.r.l.,05376651005-Bioscientifica,00801720152-BIO - RAD LABORATORIES  SRL</t>
  </si>
  <si>
    <t>8927.0</t>
  </si>
  <si>
    <t>inizio 29/03/2021, ultimazione 29/03/2023</t>
  </si>
  <si>
    <t>1496.0</t>
  </si>
  <si>
    <t>Fornitura biennale plasticheria PCR-Real Time PCR per apparecchiature Stratagene e RotorGene</t>
  </si>
  <si>
    <t>08948430965-FISHER SCIENTIFIC SAS,13023610150-Starlab Srl,04527990875-BIOGENERICA SRL,05376651005-Bioscientifica,02173800281-Biosigma,13209130155-Merck Life Science S.r.l.,13110270157-Qiagen</t>
  </si>
  <si>
    <t>1274.0</t>
  </si>
  <si>
    <t>Fornitura biennale plasticheria PCR-Real Time PCR per apparecchiature compatibili</t>
  </si>
  <si>
    <t>12657941006-CLINISCIENCES SRL UNIPERSONALE,12864800151-vwr international srl,04527990875-BIOGENERICA SRL,13023610150-Starlab Srl,00801720152-BIO - RAD LABORATORIES  SRL,05376651005-Bioscientifica,05158401009-RESNOVASRL</t>
  </si>
  <si>
    <t>6358.0</t>
  </si>
  <si>
    <t>520.0</t>
  </si>
  <si>
    <t>Manutenzione e verifica completa del Compressore Centralizzato Atlas Copco GX4FF EP2 per distribuzione Aria Compresso al lab. Chimico sede di Roma - rif. UOM127/21</t>
  </si>
  <si>
    <t>inizio 25/03/2021, ultimazione 25/03/2021</t>
  </si>
  <si>
    <t>Sostituzione prese pericolose ed interruttore guasto ufficio ragioneria e magazzino (RM)</t>
  </si>
  <si>
    <t>1016.54</t>
  </si>
  <si>
    <t>inizio 22/03/2021, ultimazione 01/04/2021</t>
  </si>
  <si>
    <t>Intervento urgente su centrale termica per ripristino funzionamento riscaldamento sede di Firenze - rif. DTP360</t>
  </si>
  <si>
    <t>771.33</t>
  </si>
  <si>
    <t>inizio 22/03/2021, ultimazione 24/03/2021</t>
  </si>
  <si>
    <t>Assistenza alla verifica triennale INAIL per autoclave CISA mod. 5075 VL 1P TS DPI dtp 721 Matr. 6391111197 c/o lab. Terreni sede di Roma - rif. UOM110/21</t>
  </si>
  <si>
    <t>inizio 19/03/2021, ultimazione 19/03/2021</t>
  </si>
  <si>
    <t>Canone noleggio bagni chimici area covid19 sede di Roma dal 07.03.2021 al 06.04.2021</t>
  </si>
  <si>
    <t>12348.36</t>
  </si>
  <si>
    <t>inizio 19/03/2021, ultimazione 30/04/2021</t>
  </si>
  <si>
    <t>Trasferimenti apparecchiture scientifiche c/o la UOC D.O. Igiene delle Produzioni e Salute Animale e rifacimento impiantistiche - rif. UOM690/20</t>
  </si>
  <si>
    <t>8800.0</t>
  </si>
  <si>
    <t>inizio 18/03/2021, ultimazione 25/03/2021</t>
  </si>
  <si>
    <t>Riparazione impianto di refrigerazione cella frigo SIC 636 lab. Diagnostica Generale della sede di Roma - rif. UOM135/21</t>
  </si>
  <si>
    <t>inizio 17/03/2021, ultimazione 17/03/2021</t>
  </si>
  <si>
    <t>Lavorazioni urgenti per eliminazione pericolosità prese "volanti" ed installazione prese dati - rif. DTP176-199 (PI e GR)</t>
  </si>
  <si>
    <t>11303341009-bmd</t>
  </si>
  <si>
    <t>1315.2</t>
  </si>
  <si>
    <t>inizio 16/03/2021, ultimazione 14/04/2021</t>
  </si>
  <si>
    <t>Fornitura biennale di Taq DNA polimerasi DNA dipendente</t>
  </si>
  <si>
    <t>12657941006-CLINISCIENCES SRL UNIPERSONALE,11372271004-Bionova Technologies s.r.l.,13209130155-Merck Life Science S.r.l.,13110270157-Qiagen,12864800151-vwr international srl,01086690581-S.I.A.L. SRL</t>
  </si>
  <si>
    <t>4826.8</t>
  </si>
  <si>
    <t>inizio 16/03/2021, ultimazione 16/03/2022</t>
  </si>
  <si>
    <t>219.4</t>
  </si>
  <si>
    <t>Intervento urgente su cabina elettrica per sostituzione coni ed interruttore</t>
  </si>
  <si>
    <t>inizio 10/03/2021, ultimazione 01/04/2021</t>
  </si>
  <si>
    <t xml:space="preserve">RDO 2682672  fornitura di licenze temporanee Arcgis Academic online per anni 3 </t>
  </si>
  <si>
    <t>07830820580-iptsat srl,04427081007-ECO LASER INFORMATICA SRL,06602381003-G&amp;O srl,05231661009-R1 SpA,01944260221-GPI S.P.A.,03488860242-STUDIO STORTI SRL,06188330150-MAGGIOLI SPA,01865710832-Signo Motus S.r.l.</t>
  </si>
  <si>
    <t>07830820580-iptsat srl</t>
  </si>
  <si>
    <t>14900.0</t>
  </si>
  <si>
    <t>inizio 09/03/2021, ultimazione 09/03/2024</t>
  </si>
  <si>
    <t>Lavorazioni urgenti c/o la Direzione Generale (edificio 9), centrale termica interrata e motore centralizzato edificio 1, per il ripristino del funzionamento del caldo sede di Roma - rif. DTP 322</t>
  </si>
  <si>
    <t>2661.01</t>
  </si>
  <si>
    <t>inizio 09/03/2021, ultimazione 30/03/2021</t>
  </si>
  <si>
    <t>Sostituzione urgente plafoniere pericolose laboratorio virologia sede di Roma - rif. DTP162</t>
  </si>
  <si>
    <t>2156.94</t>
  </si>
  <si>
    <t>inizio 08/03/2021, ultimazione 14/04/2021</t>
  </si>
  <si>
    <t>Sostituzione prese pericolose ufficio del personale (RM)</t>
  </si>
  <si>
    <t>1491.25</t>
  </si>
  <si>
    <t>Fornitura biennale di vials, tappi e insert di varia tipologia</t>
  </si>
  <si>
    <t>01870870548-STEROGLASS S.R.L.,03226210155-Restek S.r.l.,11276961007-MICRO LAB EQUIPMENT SRL,04742591003-WATERS SPA,00391470580-Chebios,01022690364-EXACTA+OPTECH Labcenter S.p.A.,01463800035-C.P.S. Analitica SRL,02323360152-MICROCOLUMN,04756320273-D.T.O. S.R.L.,12864800151-vwr international srl,11222970151-ORMA SRL</t>
  </si>
  <si>
    <t>17070.2</t>
  </si>
  <si>
    <t>inizio 05/03/2021, ultimazione 05/03/2023</t>
  </si>
  <si>
    <t>5056.6</t>
  </si>
  <si>
    <t>Servizio di distribuzione azoto liquido c/o i laboratori della sede di Roma - rif. UOM95/21</t>
  </si>
  <si>
    <t>inizio 03/03/2021, ultimazione 03/03/2021</t>
  </si>
  <si>
    <t>Riparazione impianto di Osmosi c/o locali idrici sede di Roma - rif. UOM69/21</t>
  </si>
  <si>
    <t>4500.0</t>
  </si>
  <si>
    <t>inizio 02/03/2021, ultimazione 02/03/2021</t>
  </si>
  <si>
    <t>Lavorazioni aggiuntive per la ristrutturazione dell'area ex gruppi elettrogeni - rif. DTP235</t>
  </si>
  <si>
    <t>3057.63</t>
  </si>
  <si>
    <t>inizio 01/03/2021, ultimazione 19/03/2021</t>
  </si>
  <si>
    <t>ODA6052516 Fornitura tappi setrili in cellulosa</t>
  </si>
  <si>
    <t>01022690364-EXACTA+OPTECH Labcenter S.p.A.</t>
  </si>
  <si>
    <t>inizio 01/03/2021, ultimazione 05/03/2021</t>
  </si>
  <si>
    <t>Verfica della cortina in mattoni (lato sinistro) della facciata dell'UOT di Grosseto e cerchiatura parete - rif. DTP135</t>
  </si>
  <si>
    <t>16066.93</t>
  </si>
  <si>
    <t>inizio 01/03/2021, ultimazione 30/06/2021</t>
  </si>
  <si>
    <t>Manutenzione a seguito di blocco dell'impianto di climatizzazione e di riscaldamento della sede di Latina - rif. DTP243</t>
  </si>
  <si>
    <t>759.28</t>
  </si>
  <si>
    <t>inizio 25/02/2021, ultimazione 19/03/2021</t>
  </si>
  <si>
    <t>Trasferimenti con smontaggi e rimontaggi di numerose strumentazioni nei/tra le sedi di Firenze ed Arezzo - rif. UOM156/21</t>
  </si>
  <si>
    <t>inizio 23/02/2021, ultimazione 25/02/2021</t>
  </si>
  <si>
    <t>Inserimento di nuovi cicli personalizzati di Sterilizzazione sull'autoclave mod. 5070/EV/DP/TS matr. 97309014RM sede di Latina - rif. UOM24/21</t>
  </si>
  <si>
    <t>inizio 19/02/2021, ultimazione 19/02/2021</t>
  </si>
  <si>
    <t>Riparazione, revisione e rigenerazione completa impianto di distribuzione azoto adibito al servizio del Campionatore automatico Perkin Elmer c/o la sede di Firenze - rif. UOM711/20</t>
  </si>
  <si>
    <t>2450.0</t>
  </si>
  <si>
    <t>inizio 18/02/2021, ultimazione 18/02/2021</t>
  </si>
  <si>
    <t>Servizio di distribuzione azoto liquido c/o i laboratori della sede di Roma - rif. UOM147/21</t>
  </si>
  <si>
    <t>inizio 17/02/2021, ultimazione 10/03/2021</t>
  </si>
  <si>
    <t>Sostituzione fancoil lavavetreria e coibentazione tubazione adduzione idrica - rif. DTP211</t>
  </si>
  <si>
    <t>2367.74</t>
  </si>
  <si>
    <t>inizio 17/02/2021, ultimazione 13/04/2021</t>
  </si>
  <si>
    <t>Fornitura biennale di Hot-Start Taq DNA polimerasi DNA dipendente</t>
  </si>
  <si>
    <t>07484470153-DBA ITALIA SRL,12317560154-Promega Italia S.r.l.,12792100153-LIFE TECHNOLOGIES ITALIA FIL. LIFE TECHNOLOGIES EUROPE BV,01802940484-CARLO ERBA REAGENTS SRL,13209130155-Merck Life Science S.r.l.</t>
  </si>
  <si>
    <t>3569.28</t>
  </si>
  <si>
    <t>inizio 16/02/2021, ultimazione 16/02/2023</t>
  </si>
  <si>
    <t>1578.72</t>
  </si>
  <si>
    <t>Fornitura triennale di reagenti per colture leptospira</t>
  </si>
  <si>
    <t>inizio 16/02/2021, ultimazione 16/02/2024</t>
  </si>
  <si>
    <t>Lavori di predisposizione impiantistica per installazione nuove apparecchiature per la cucina della mensa di Roma - rif. DTP155</t>
  </si>
  <si>
    <t>3044.68</t>
  </si>
  <si>
    <t>inizio 16/02/2021, ultimazione 04/06/2021</t>
  </si>
  <si>
    <t>Intervento per perdita GPL, sostituzione galleggiante acqua e gruppo refrigeratore ed. 9 e motore ed. 1 - rif. DTP189</t>
  </si>
  <si>
    <t>1417.18</t>
  </si>
  <si>
    <t>inizio 11/02/2021, ultimazione 13/04/2021</t>
  </si>
  <si>
    <t xml:space="preserve"> Fornitura biennale di prodotti infungibili FOSS</t>
  </si>
  <si>
    <t>96613.44</t>
  </si>
  <si>
    <t>inizio 08/02/2021, ultimazione 08/02/2023</t>
  </si>
  <si>
    <t>67179.92</t>
  </si>
  <si>
    <t>Fornitura biennale polimerasi di Master Mix per protocolli di PCR Real Time</t>
  </si>
  <si>
    <t>00875820326-Eurofins Tecna s.r.l.,13110270157-Qiagen,10181220152-ROCHE DIAGNOSTICS SPA,11372271004-Bionova Technologies s.r.l.,01802940484-CARLO ERBA REAGENTS SRL,00801720152-BIO - RAD LABORATORIES  SRL,05158401009-RESNOVASRL,12792100153-LIFE TECHNOLOGIES ITALIA FIL. LIFE TECHNOLOGIES EUROPE BV</t>
  </si>
  <si>
    <t>20094.0</t>
  </si>
  <si>
    <t>13321.6</t>
  </si>
  <si>
    <t>Oligonucleotidi sintetici a doppia elica GENE FRAGMENT</t>
  </si>
  <si>
    <t>13209130155-Merck Life Science S.r.l.,00889160156-Thermo Fisher Diagnostics S.p.A.,06754140157-BIO-OPTICA MILANO SPA,01086690581-S.I.A.L. SRL,07499941008-LIFELINELAB,00801720152-BIO - RAD LABORATORIES  SRL,04437501002-unimed scientifica s.r.l.,10181220152-ROCHE DIAGNOSTICS SPA,05158401009-RESNOVASRL,12792100153-LIFE TECHNOLOGIES ITALIA FIL. LIFE TECHNOLOGIES EUROPE BV,02791720960-Li StarFish,13110270157-Qiagen,01802940484-CARLO ERBA REAGENTS SRL,11372271004-Bionova Technologies s.r.l.,00381250521-Biotime di G. Niccolai e C.,07984380969-Eurofins Genomics Italy Srl,11303391004-BIO-CELL S.r.l.,03898780378-TEMA RICERCA SRL,07246691005-Servizi Diagnostici S.r.l.,01739430476-BIOCLASS SRL,02993600366-Generon SPA,05706610481-VINCI-BIOCHEM SRL,10926691006-Aurogene s.r.l.</t>
  </si>
  <si>
    <t>07984380969-Eurofins Genomics Italy Srl</t>
  </si>
  <si>
    <t>5988.0</t>
  </si>
  <si>
    <t>inizio 08/02/2021, ultimazione 08/02/2024</t>
  </si>
  <si>
    <t>4792.0</t>
  </si>
  <si>
    <t>Canone noleggio bagni chimici area covid19 sede di Roma dal 07.02.2021 al 06.03.2021 - rif. DTP46_1</t>
  </si>
  <si>
    <t>12248.56</t>
  </si>
  <si>
    <t>inizio 07/02/2021, ultimazione 06/03/2021</t>
  </si>
  <si>
    <t>Lavorazioni urgenti per sostituzione pericolose (edificio 4) e risoluzione problematiche necroscopia - rif. DTP130</t>
  </si>
  <si>
    <t>2359.66</t>
  </si>
  <si>
    <t>inizio 03/02/2021, ultimazione 16/02/2021</t>
  </si>
  <si>
    <t>Fornitura triennale di kit Elisa Pestivirus</t>
  </si>
  <si>
    <t>07159970966-HIPRA ITALIA SRL,01152200018-AGROLABO SPA,12032450152-Idexx Laboratories Italia srl</t>
  </si>
  <si>
    <t>3547.95</t>
  </si>
  <si>
    <t>inizio 03/02/2021, ultimazione 03/02/2024</t>
  </si>
  <si>
    <t>3139.73</t>
  </si>
  <si>
    <t>360453.49</t>
  </si>
  <si>
    <t>inizio 03/02/2021, ultimazione 02/02/2022</t>
  </si>
  <si>
    <t>125619.91</t>
  </si>
  <si>
    <t>Lavorazioni urgenti per sotituzione plafoniere pericolose ed eliminazione cortocircuiti - rif. DTP1916-1950-86 (AR, FI e SI)</t>
  </si>
  <si>
    <t>2446.53</t>
  </si>
  <si>
    <t>inizio 03/02/2021, ultimazione 14/04/2021</t>
  </si>
  <si>
    <t>Installazione prese elettriche a servizio del centralino di Siena e nuova installazione per generatore di azoto sede di Firenze - rif. DTP363-367</t>
  </si>
  <si>
    <t>1036.62</t>
  </si>
  <si>
    <t>Fornitura biennale di prodotti infungibili bioMérieux</t>
  </si>
  <si>
    <t>230509.14</t>
  </si>
  <si>
    <t>inizio 02/02/2021, ultimazione 01/02/2023</t>
  </si>
  <si>
    <t>114410.32</t>
  </si>
  <si>
    <t>Riparazione impianto di refrigerazione cella frigo n° 7 assegnata a Magazzino/Apicoltura c/o la zona celle frigo sede di Roma - rif. UOM48/21</t>
  </si>
  <si>
    <t>inizio 02/02/2021, ultimazione 02/02/2021</t>
  </si>
  <si>
    <t>Interventi urgenti per ripristino centrale termica e cdz sede di Viterbo e valvole a tre vie impianto di riscaldamento sede di Pisa</t>
  </si>
  <si>
    <t>3097.98</t>
  </si>
  <si>
    <t>inizio 28/01/2021, ultimazione 19/02/2021</t>
  </si>
  <si>
    <t>Fornitura biennale ditali di estrazione in fibra di vetro e cellulosa</t>
  </si>
  <si>
    <t>11276961007-MICRO LAB EQUIPMENT SRL,01758800161-FKV SRL,11372271004-Bionova Technologies s.r.l.,11073590157-METROHM ITALIANA SRL,01739430476-BIOCLASS SRL,01022690364-EXACTA+OPTECH Labcenter S.p.A.,12864800151-vwr international srl,01802940484-CARLO ERBA REAGENTS SRL</t>
  </si>
  <si>
    <t>12592.0</t>
  </si>
  <si>
    <t>inizio 27/01/2021, ultimazione 27/01/2023</t>
  </si>
  <si>
    <t>5807.06</t>
  </si>
  <si>
    <t>Fornitura triennale di antibiotici, reagenti e supplementi specifici per colture cellulari</t>
  </si>
  <si>
    <t>02173800281-Biosigma,08126390155-EUROCLONE SPA,01086690581-S.I.A.L. SRL,12792100153-LIFE TECHNOLOGIES ITALIA FIL. LIFE TECHNOLOGIES EUROPE BV,08948430965-FISHER SCIENTIFIC SAS,05158401009-RESNOVASRL,13209130155-Merck Life Science S.r.l.</t>
  </si>
  <si>
    <t>16332.0</t>
  </si>
  <si>
    <t>inizio 27/01/2021, ultimazione 27/01/2024</t>
  </si>
  <si>
    <t>3644.0</t>
  </si>
  <si>
    <t>Fornitura biennale Fast qPCR Master Mix polimerasi</t>
  </si>
  <si>
    <t>13209130155-Merck Life Science S.r.l.,12317560154-Promega Italia S.r.l.,12657941006-CLINISCIENCES SRL UNIPERSONALE,12792100153-LIFE TECHNOLOGIES ITALIA FIL. LIFE TECHNOLOGIES EUROPE BV,02047250424-Diatech Lab Line srl,00914480587-SOCIETA' ITALIANA CHIMICI DIVISIONE SCIENTIFICA SRL UNIPERSONALE</t>
  </si>
  <si>
    <t>10908.0</t>
  </si>
  <si>
    <t>inizio 26/01/2021, ultimazione 26/01/2023</t>
  </si>
  <si>
    <t>540.0</t>
  </si>
  <si>
    <t>Intervento urgente di messa in sicurezza della cortina esterna in mattoni - rif. DTP92</t>
  </si>
  <si>
    <t>844.83</t>
  </si>
  <si>
    <t>inizio 25/01/2021, ultimazione 19/03/2021</t>
  </si>
  <si>
    <t>Fornitura biennale di Controllo Positivo Interno (IPC) per PCR Real Time</t>
  </si>
  <si>
    <t>13110270157-Qiagen,07984380969-Eurofins Genomics Italy Srl,07484470153-DBA ITALIA SRL,05158401009-RESNOVASRL,06814140965-Illumina Italy SRL,11928920153-BIOSENSE SRL,02993600366-Generon SPA</t>
  </si>
  <si>
    <t>11928920153-BIOSENSE SRL</t>
  </si>
  <si>
    <t>26730.0</t>
  </si>
  <si>
    <t>inizio 25/01/2021, ultimazione 25/01/2023</t>
  </si>
  <si>
    <t>2640.0</t>
  </si>
  <si>
    <t>Sostituzione urgente ventilatore UTA sede di Pisa - rif DTP18</t>
  </si>
  <si>
    <t>957.2</t>
  </si>
  <si>
    <t>inizio 21/01/2021, ultimazione 05/02/2021</t>
  </si>
  <si>
    <t>Lavorazioni necessarie ed urgenti sul gruppo UPS della sede di Roma - rif. DTP103</t>
  </si>
  <si>
    <t>4954.86</t>
  </si>
  <si>
    <t>inizio 21/01/2021, ultimazione 26/01/2021</t>
  </si>
  <si>
    <t>Fornitura biennale microprovette a bassa ritenzione acici nucleici</t>
  </si>
  <si>
    <t>13209130155-Merck Life Science S.r.l.,12864800151-vwr international srl,00695940213-Sarstedt S.r.l.,10767630154-EPPENDORF SRL.,08948430965-FISHER SCIENTIFIC SAS</t>
  </si>
  <si>
    <t>227.0</t>
  </si>
  <si>
    <t>inizio 21/01/2021, ultimazione 21/01/2023</t>
  </si>
  <si>
    <t>90.88</t>
  </si>
  <si>
    <t>Riparazione impianto di refrigerazione cella frigo SIC 3090 c/o il magazzino della sede di Latina - rif. UOM17</t>
  </si>
  <si>
    <t>inizio 20/01/2021, ultimazione 20/01/2021</t>
  </si>
  <si>
    <t>Fornitura triennale di microprovette varia tipologia</t>
  </si>
  <si>
    <t>13023610150-Starlab Srl,08948430965-FISHER SCIENTIFIC SAS,04928241001-3V CHIMICA SRL,07520900155-APTACA Spa,02173800281-Biosigma</t>
  </si>
  <si>
    <t>20230.0</t>
  </si>
  <si>
    <t>inizio 18/01/2021, ultimazione 18/01/2023</t>
  </si>
  <si>
    <t>5079.7</t>
  </si>
  <si>
    <t>Sostituzione urgente condizionatore laboratorio diagnostica (da 24.000 btu) ed. 4 sede di Roma - rif DTP18</t>
  </si>
  <si>
    <t>1901.5</t>
  </si>
  <si>
    <t>inizio 12/01/2021, ultimazione 05/02/2021</t>
  </si>
  <si>
    <t>Intervento per sostituzione scambiatore di calore sede di Firenze - rif. DTP9</t>
  </si>
  <si>
    <t>1545.38</t>
  </si>
  <si>
    <t>Ripristino urgente malfunzionamento gruppo refrigeratore sede di Rieti - rif. DTP2006</t>
  </si>
  <si>
    <t>3525.71</t>
  </si>
  <si>
    <t>inizio 04/01/2021, ultimazione 05/02/2021</t>
  </si>
  <si>
    <t>Manutenzione semetrale ascensori regione Toscana - rif. DTP383</t>
  </si>
  <si>
    <t>960.0</t>
  </si>
  <si>
    <t>inizio 01/01/2021, ultimazione 30/06/2021</t>
  </si>
  <si>
    <t>1920.0</t>
  </si>
  <si>
    <t>Manutenzioni impianti elettrici ed affini regione Toscana gen-feb-mar</t>
  </si>
  <si>
    <t>4043.27</t>
  </si>
  <si>
    <t>inizio 01/01/2021, ultimazione 31/03/2021</t>
  </si>
  <si>
    <t>Manutenzioni impianti termici, di condizionamento ed affini regioni Lazio e Toscana gen-feb-mar</t>
  </si>
  <si>
    <t>7698.89</t>
  </si>
  <si>
    <t>Estensione contrattuale ILLUMINA - rif. UOM612/21</t>
  </si>
  <si>
    <t>5478.0</t>
  </si>
  <si>
    <t>inizio 01/01/2021, ultimazione 31/12/2021</t>
  </si>
  <si>
    <t>5204.1</t>
  </si>
  <si>
    <t>Manutenzioni impianti elettrici ed affini regione Lazio gen-feb-mar</t>
  </si>
  <si>
    <t>12448.76</t>
  </si>
  <si>
    <t>Manutenzione impianti idrici sede di Roma primo semestre 2021 - rif. UOM413/2021</t>
  </si>
  <si>
    <t xml:space="preserve">Fornitura biennale di fiasche e piastre per biologia cellulare </t>
  </si>
  <si>
    <t>11372271004-Bionova Technologies s.r.l.,11276961007-MICRO LAB EQUIPMENT SRL,04437501002-unimed scientifica s.r.l.,13023610150-Starlab Srl,09802470154-Scharlab Italia srl,02173800281-Biosigma,05376651005-Bioscientifica,02817360585-Vetro Scientifica,05626031008-SP MED SRL,01739430476-BIOCLASS SRL,12864800151-vwr international srl,07246691005-Servizi Diagnostici S.r.l.</t>
  </si>
  <si>
    <t>22529.0</t>
  </si>
  <si>
    <t>inizio 14/12/2020, ultimazione 14/12/2022</t>
  </si>
  <si>
    <t>8900.52</t>
  </si>
  <si>
    <t>Sonde doppia marcatura ed MGB</t>
  </si>
  <si>
    <t>00801720152-BIO - RAD LABORATORIES  SRL,13110270157-Qiagen,07246691005-Servizi Diagnostici S.r.l.,06754140157-BIO-OPTICA MILANO SPA,10181220152-ROCHE DIAGNOSTICS SPA,01802940484-CARLO ERBA REAGENTS SRL,07984380969-Eurofins Genomics Italy Srl,07499941008-LIFELINELAB,04437501002-unimed scientifica s.r.l.,00889160156-Thermo Fisher Diagnostics S.p.A.,05158401009-RESNOVASRL,02791720960-Li StarFish,10926691006-Aurogene s.r.l.,01086690581-S.I.A.L. SRL,13209130155-Merck Life Science S.r.l.,11372271004-Bionova Technologies s.r.l.,03898780378-TEMA RICERCA SRL,01739430476-BIOCLASS SRL,12792100153-LIFE TECHNOLOGIES ITALIA FIL. LIFE TECHNOLOGIES EUROPE BV,02993600366-Generon SPA,05706610481-VINCI-BIOCHEM SRL</t>
  </si>
  <si>
    <t>124458.2</t>
  </si>
  <si>
    <t>inizio 14/12/2020, ultimazione 13/12/2022</t>
  </si>
  <si>
    <t>54312.8</t>
  </si>
  <si>
    <t>Controllo malfunzionamento pompe, svuotamento fossa e sostituzione n° 1 pompa più pompa ausiliaria sede di Firenze - rif. DTP1849</t>
  </si>
  <si>
    <t>2365.54</t>
  </si>
  <si>
    <t>inizio 10/12/2020, ultimazione 30/12/2020</t>
  </si>
  <si>
    <t>Canone noleggio bagni chimici area covid19 sede di Roma dal 07.12.2020 al 06.02.2021 - rif. DTP1770_1-46</t>
  </si>
  <si>
    <t>29072.7</t>
  </si>
  <si>
    <t>inizio 07/12/2020, ultimazione 06/02/2021</t>
  </si>
  <si>
    <t>Locked Nucleic Acid Probes</t>
  </si>
  <si>
    <t>07984380969-Eurofins Genomics Italy Srl,01086690581-S.I.A.L. SRL,11372271004-Bionova Technologies s.r.l.,07499941008-LIFELINELAB,05706610481-VINCI-BIOCHEM SRL,10926691006-Aurogene s.r.l.,04437501002-unimed scientifica s.r.l.,01802940484-CARLO ERBA REAGENTS SRL,03898780378-TEMA RICERCA SRL,00889160156-Thermo Fisher Diagnostics S.p.A.,01739430476-BIOCLASS SRL,10181220152-ROCHE DIAGNOSTICS SPA,13110270157-Qiagen,06754140157-BIO-OPTICA MILANO SPA,00801720152-BIO - RAD LABORATORIES  SRL,07246691005-Servizi Diagnostici S.r.l.,02993600366-Generon SPA,05158401009-RESNOVASRL</t>
  </si>
  <si>
    <t>59107.62</t>
  </si>
  <si>
    <t>inizio 02/12/2020, ultimazione 02/12/2022</t>
  </si>
  <si>
    <t>11223.86</t>
  </si>
  <si>
    <t>Fornitura biennale di master mix con intercalante fluorescente per pCR</t>
  </si>
  <si>
    <t>10181220152-ROCHE DIAGNOSTICS SPA,07484470153-DBA ITALIA SRL,13209130155-Merck Life Science S.r.l.,05158401009-RESNOVASRL,01802940484-CARLO ERBA REAGENTS SRL</t>
  </si>
  <si>
    <t>7275.84</t>
  </si>
  <si>
    <t>inizio 28/11/2020, ultimazione 28/11/2022</t>
  </si>
  <si>
    <t>Fornitura biennale di One Step Reverse Trascription-PCR System with platinum Taq DNA polimerase</t>
  </si>
  <si>
    <t>12317560154-Promega Italia S.r.l.,13209130155-Merck Life Science S.r.l.,00801720152-BIO - RAD LABORATORIES  SRL,13110270157-Qiagen,08126390155-EUROCLONE SPA,12792100153-LIFE TECHNOLOGIES ITALIA FIL. LIFE TECHNOLOGIES EUROPE BV,05376651005-Bioscientifica,07246691005-Servizi Diagnostici S.r.l.</t>
  </si>
  <si>
    <t>9328.0</t>
  </si>
  <si>
    <t>inizio 27/11/2020, ultimazione 27/11/2022</t>
  </si>
  <si>
    <t>Fornitura biennale di Ready HRM Fast PCR Master Mix</t>
  </si>
  <si>
    <t>13110270157-Qiagen,00914480587-SOCIETA' ITALIANA CHIMICI DIVISIONE SCIENTIFICA SRL UNIPERSONALE,04437501002-unimed scientifica s.r.l.,10181220152-ROCHE DIAGNOSTICS SPA</t>
  </si>
  <si>
    <t>Fornitura biennale di cartucce e piastre per antibiogramma</t>
  </si>
  <si>
    <t>00530130673-Liofilchem S.r.l.,00801720152-BIO - RAD LABORATORIES  SRL,01625440928-Microbiol di Sergio Murgia &amp; C. srl,08948430965-FISHER SCIENTIFIC SAS,00941660151-D.I.D. DIAGNOSTIC INTERNATIONAL DISTRIBUTION SPA,07146020586-Biomerieux Italia Spa</t>
  </si>
  <si>
    <t>10300.3</t>
  </si>
  <si>
    <t>inizio 19/11/2020, ultimazione 19/11/2022</t>
  </si>
  <si>
    <t>5391.5</t>
  </si>
  <si>
    <t>Servizio di qualifica metrologica IQ OQ IPV per anni 5 per  strumento Quantstudio7</t>
  </si>
  <si>
    <t>24575.0</t>
  </si>
  <si>
    <t>inizio 18/11/2020, ultimazione 18/11/2025</t>
  </si>
  <si>
    <t>4915.0</t>
  </si>
  <si>
    <t>Intervento per ripristino corretto funzionamento e messa in sicurezza impianto elevatore sede di Firenze - rif. DTP1617-1618</t>
  </si>
  <si>
    <t>14568.0</t>
  </si>
  <si>
    <t>inizio 12/11/2020, ultimazione 16/04/2021</t>
  </si>
  <si>
    <t>Intervento per corretto ripristino e messa in sicurezza impianto elevatore sede di Grosseto - rif. DTP1637/20</t>
  </si>
  <si>
    <t>7961.48</t>
  </si>
  <si>
    <t>inizio 12/11/2020, ultimazione 17/05/2021</t>
  </si>
  <si>
    <t>Intervento per ripristino corretto funzionamento e messa in sicurezza impianto elevatore sede di Siena - rif. DTP1625</t>
  </si>
  <si>
    <t>8788.0</t>
  </si>
  <si>
    <t>Oligonucleotidi sintetici NGS-grade</t>
  </si>
  <si>
    <t>04437501002-unimed scientifica s.r.l.,10926691006-Aurogene s.r.l.,00889160156-Thermo Fisher Diagnostics S.p.A.,06754140157-BIO-OPTICA MILANO SPA,00801720152-BIO - RAD LABORATORIES  SRL,13209130155-Merck Life Science S.r.l.,07246691005-Servizi Diagnostici S.r.l.,02791720960-Li StarFish,05706610481-VINCI-BIOCHEM SRL,01802940484-CARLO ERBA REAGENTS SRL,10181220152-ROCHE DIAGNOSTICS SPA,12792100153-LIFE TECHNOLOGIES ITALIA FIL. LIFE TECHNOLOGIES EUROPE BV,13110270157-Qiagen,11372271004-Bionova Technologies s.r.l.,00381250521-Biotime di G. Niccolai e C.,07499941008-LIFELINELAB,01086690581-S.I.A.L. SRL,07984380969-Eurofins Genomics Italy Srl,11303391004-BIO-CELL S.r.l.,03898780378-TEMA RICERCA SRL,01739430476-BIOCLASS SRL,02993600366-Generon SPA,05158401009-RESNOVASRL</t>
  </si>
  <si>
    <t>14790.0</t>
  </si>
  <si>
    <t>inizio 11/11/2020, ultimazione 11/11/2023</t>
  </si>
  <si>
    <t>808.35</t>
  </si>
  <si>
    <t>Ripristino funzionalità impianto elevatore sede di Arezzo a seguito di pericolosità esistenti - rif. DTP1559</t>
  </si>
  <si>
    <t>10342.0</t>
  </si>
  <si>
    <t>inizio 05/11/2020, ultimazione 25/01/2021</t>
  </si>
  <si>
    <t>Rimessa in moto gruppo refrigeratore, ricarica gas, sostituzione ventilatori e valvole sede di Latina - rif. DTP1733_1</t>
  </si>
  <si>
    <t>2850.0</t>
  </si>
  <si>
    <t>inizio 04/11/2020, ultimazione 30/12/2020</t>
  </si>
  <si>
    <t>Fornitura triennale di kit Elisa ricerca anticorpi gB virus malattia Aujeszky</t>
  </si>
  <si>
    <t>47812321900022-Innovative Diagnostics SARL,01152200018-AGROLABO SPA,10926691006-Aurogene s.r.l.,12032450152-Idexx Laboratories Italia srl</t>
  </si>
  <si>
    <t>4048.66</t>
  </si>
  <si>
    <t>inizio 28/10/2020, ultimazione 28/10/2023</t>
  </si>
  <si>
    <t>736.12</t>
  </si>
  <si>
    <t>Fornitura triennale di cancelleria</t>
  </si>
  <si>
    <t>11303341009-bmd,08397890586-ERREBIAN,04427081007-ECO LASER INFORMATICA SRL,06267180583-Sigiltech SRL,03222970406-M.y.O S.p.a.</t>
  </si>
  <si>
    <t>10832.56</t>
  </si>
  <si>
    <t>inizio 22/10/2020, ultimazione 22/10/2023</t>
  </si>
  <si>
    <t>7926.31</t>
  </si>
  <si>
    <t>Sostituzione urgente pompa acqua mensa e riparazione perdita su tubazione sede di Roma - rif DTP1412</t>
  </si>
  <si>
    <t>1983.01</t>
  </si>
  <si>
    <t>inizio 06/10/2020, ultimazione 16/10/2020</t>
  </si>
  <si>
    <t>Sostituzione URGENTE plafoniere pericolose (ed. 4-5), sostituzione interruttore cella frigorifera Virologia, montaggio n° 1 prese elettriche (ed. 4), installazione presa CCR per spostamento apparecchiatura e intervento c/o ingresso drive in per ripristino sbarre e badge (a seguito di collisione) sede di Roma - rif. DTP1802-1903-1881-1862-1899-1895</t>
  </si>
  <si>
    <t>2626.56</t>
  </si>
  <si>
    <t>Acquisizione gazebi drive-in covid sede di Roma</t>
  </si>
  <si>
    <t>6000.0</t>
  </si>
  <si>
    <t>inizio 03/10/2020</t>
  </si>
  <si>
    <t>Fornitura biennale di biglie magnetiche per immunoseparazione magnetica Escherichia coli O:157 e O:26</t>
  </si>
  <si>
    <t>8241.08</t>
  </si>
  <si>
    <t>inizio 25/09/2020, ultimazione 25/09/2022</t>
  </si>
  <si>
    <t>Oligonucleotidi sintetici single strand</t>
  </si>
  <si>
    <t>13209130155-Merck Life Science S.r.l.,00801720152-BIO - RAD LABORATORIES  SRL,04437501002-unimed scientifica s.r.l.,00889160156-Thermo Fisher Diagnostics S.p.A.,10926691006-Aurogene s.r.l.,11303391004-BIO-CELL S.r.l.,02791720960-Li StarFish,06754140157-BIO-OPTICA MILANO SPA,01086690581-S.I.A.L. SRL,10181220152-ROCHE DIAGNOSTICS SPA,13110270157-Qiagen,11372271004-Bionova Technologies s.r.l.,00381250521-Biotime di G. Niccolai e C.,07499941008-LIFELINELAB,03898780378-TEMA RICERCA SRL,05158401009-RESNOVASRL,07246691005-Servizi Diagnostici S.r.l.,02993600366-Generon SPA,01739430476-BIOCLASS SRL,07984380969-Eurofins Genomics Italy Srl,01802940484-CARLO ERBA REAGENTS SRL,12792100153-LIFE TECHNOLOGIES ITALIA FIL. LIFE TECHNOLOGIES EUROPE BV,05706610481-VINCI-BIOCHEM SRL</t>
  </si>
  <si>
    <t>30415.5</t>
  </si>
  <si>
    <t>inizio 24/09/2020, ultimazione 24/09/2023</t>
  </si>
  <si>
    <t>11060.74</t>
  </si>
  <si>
    <t>Fornitura triennale di prodotti per la fissazione del complemento per morbo coitale e morva</t>
  </si>
  <si>
    <t>11340.0</t>
  </si>
  <si>
    <t>inizio 18/09/2020, ultimazione 18/09/2023</t>
  </si>
  <si>
    <t>4147.04</t>
  </si>
  <si>
    <t>Fornitura biennale di prodotto di sanificazione per sistema Medibios</t>
  </si>
  <si>
    <t>03514310121-AMIL CARE ITALIA Srl</t>
  </si>
  <si>
    <t>inizio 15/09/2020, ultimazione 15/09/2022</t>
  </si>
  <si>
    <t>3420.0</t>
  </si>
  <si>
    <t>Fornitura triennale di Siero Equino per prove sierologiche</t>
  </si>
  <si>
    <t>00530130673-Liofilchem S.r.l.,04527990875-BIOGENERICA SRL,01625440928-Microbiol di Sergio Murgia &amp; C. srl,13209130155-Merck Life Science S.r.l.,08948430965-FISHER SCIENTIFIC SAS,12792100153-LIFE TECHNOLOGIES ITALIA FIL. LIFE TECHNOLOGIES EUROPE BV</t>
  </si>
  <si>
    <t>inizio 08/09/2020, ultimazione 08/09/2023</t>
  </si>
  <si>
    <t>660.0</t>
  </si>
  <si>
    <t>Fornitura triennale di microbank vari colori</t>
  </si>
  <si>
    <t>39420.0</t>
  </si>
  <si>
    <t>15330.0</t>
  </si>
  <si>
    <t xml:space="preserve">Kit Elisa per ricerca Blue Tongue e IBR-Ge </t>
  </si>
  <si>
    <t>03680250283-EUROIMMUN ITALIA S.R.L. CON SOCIO UNICO,07146020586-Biomerieux Italia Spa,07159970966-HIPRA ITALIA SRL,01152200018-AGROLABO SPA,10926691006-Aurogene s.r.l.,04429130877-Omnia Diagnostica srl,47812321900022-Innovative Diagnostics SARL,10842130014-IN3DIAGNOSTIC SRL,12032450152-Idexx Laboratories Italia srl</t>
  </si>
  <si>
    <t>12870.0</t>
  </si>
  <si>
    <t>inizio 13/08/2020, ultimazione 13/08/2023</t>
  </si>
  <si>
    <t>4118.8</t>
  </si>
  <si>
    <t>Fornitura triennale di anse calibrate sterili in plastica</t>
  </si>
  <si>
    <t>01086690581-S.I.A.L. SRL,04928241001-3V CHIMICA SRL,00805390283-LABOINDUSTRIA S.p.A.,12864800151-vwr international srl,01739430476-BIOCLASS SRL,02173800281-Biosigma</t>
  </si>
  <si>
    <t>12160.0</t>
  </si>
  <si>
    <t>inizio 04/08/2020, ultimazione 04/08/2023</t>
  </si>
  <si>
    <t>2304.0</t>
  </si>
  <si>
    <t>Fornitura per 18 mesi di detergenti specifici per lavaggio vetreria</t>
  </si>
  <si>
    <t>04427081007-ECO LASER INFORMATICA SRL,05626031008-SP MED SRL,12864800151-vwr international srl,04928241001-3V CHIMICA SRL,12467671009-MV Medical srl</t>
  </si>
  <si>
    <t>4590.0</t>
  </si>
  <si>
    <t>inizio 31/07/2020, ultimazione 31/01/2022</t>
  </si>
  <si>
    <t>846.3</t>
  </si>
  <si>
    <t>Fornitura triennale kit di agglutinazione rapida anticorpi anti Brucella canis</t>
  </si>
  <si>
    <t>09240730151-ALCYON ITALIA SPA,12000641006-ZOETIS ITALIA SRL,03680250283-EUROIMMUN ITALIA S.R.L. CON SOCIO UNICO</t>
  </si>
  <si>
    <t>09240730151-ALCYON ITALIA SPA</t>
  </si>
  <si>
    <t>1333.89</t>
  </si>
  <si>
    <t>inizio 28/07/2020, ultimazione 28/07/2023</t>
  </si>
  <si>
    <t>Fornitura biennale di contenitori per latte di massa</t>
  </si>
  <si>
    <t>04124690241-BELCOGAMMA SRL</t>
  </si>
  <si>
    <t>8560.0</t>
  </si>
  <si>
    <t>inizio 15/07/2020, ultimazione 15/07/2022</t>
  </si>
  <si>
    <t>1728.0</t>
  </si>
  <si>
    <t>Fornitura triennale di pipette sterili monouso in plastica</t>
  </si>
  <si>
    <t>02173800281-Biosigma,04928241001-3V CHIMICA SRL,05376651005-Bioscientifica,12864800151-vwr international srl,00805390283-LABOINDUSTRIA S.p.A.,10926691006-Aurogene s.r.l.</t>
  </si>
  <si>
    <t>29883.2</t>
  </si>
  <si>
    <t>inizio 10/07/2020, ultimazione 10/07/2023</t>
  </si>
  <si>
    <t>11924.65</t>
  </si>
  <si>
    <t>Fornitura triennale di kit Elisa per la ricerca di anticorpi anti-VP72 e VP7 della Peste Suina</t>
  </si>
  <si>
    <t>01152200018-AGROLABO SPA,12032450152-Idexx Laboratories Italia srl,07984380969-Eurofins Genomics Italy Srl,03680250283-EUROIMMUN ITALIA S.R.L. CON SOCIO UNICO</t>
  </si>
  <si>
    <t>2762.4</t>
  </si>
  <si>
    <t>inizio 06/07/2020, ultimazione 06/07/2023</t>
  </si>
  <si>
    <t>1709.57</t>
  </si>
  <si>
    <t>Fornitura triennale di kit per elettroforesi comprensivo di realtiva apparecchiatura</t>
  </si>
  <si>
    <t>00248660599-MEDICAL SYSTEMS,08097511219-P.S. ELETTRONICA SRL,01260340482-SEBIA ITALIA S.R.L.</t>
  </si>
  <si>
    <t>01260340482-SEBIA ITALIA S.R.L.</t>
  </si>
  <si>
    <t>7625.0</t>
  </si>
  <si>
    <t>inizio 26/06/2020, ultimazione 26/06/2023</t>
  </si>
  <si>
    <t>4291.0</t>
  </si>
  <si>
    <t>Kit Elisa ricerca virus West Nile Desease e Influenza Aviaria</t>
  </si>
  <si>
    <t>07159970966-HIPRA ITALIA SRL,03680250283-EUROIMMUN ITALIA S.R.L. CON SOCIO UNICO,01152200018-AGROLABO SPA,04429130877-Omnia Diagnostica srl,12032450152-Idexx Laboratories Italia srl,10926691006-Aurogene s.r.l.,07146020586-Biomerieux Italia Spa,10842130014-IN3DIAGNOSTIC SRL,47812321900022-Innovative Diagnostics SARL</t>
  </si>
  <si>
    <t>15792.0</t>
  </si>
  <si>
    <t>8822.0</t>
  </si>
  <si>
    <t>kit Elisa ricerca virus streptococcus equi</t>
  </si>
  <si>
    <t>12032450152-Idexx Laboratories Italia srl,04429130877-Omnia Diagnostica srl,07159970966-HIPRA ITALIA SRL,47812321900022-Innovative Diagnostics SARL,01152200018-AGROLABO SPA,10926691006-Aurogene s.r.l.,07146020586-Biomerieux Italia Spa,03680250283-EUROIMMUN ITALIA S.R.L. CON SOCIO UNICO,10842130014-IN3DIAGNOSTIC SRL</t>
  </si>
  <si>
    <t>1680.0</t>
  </si>
  <si>
    <t>560.0</t>
  </si>
  <si>
    <t>Fornitura biennale di bobine e carta asciugamani</t>
  </si>
  <si>
    <t>05371121004-A.C.ESSE,04427081007-ECO LASER INFORMATICA SRL,12467671009-MV Medical srl,03222970406-M.y.O S.p.a.,08397890586-ERREBIAN</t>
  </si>
  <si>
    <t>08397890586-ERREBIAN</t>
  </si>
  <si>
    <t>22399.0</t>
  </si>
  <si>
    <t>inizio 15/06/2020, ultimazione 15/06/2022</t>
  </si>
  <si>
    <t>6292.44</t>
  </si>
  <si>
    <t>Servizio di manutenzione triennale per rigenerazione periodica colonna Deionizer MB9 Culligan</t>
  </si>
  <si>
    <t>00882150535-ACQUA E ARIA SERVICE SRL</t>
  </si>
  <si>
    <t>inizio 29/05/2020, ultimazione 29/05/2023</t>
  </si>
  <si>
    <t>618.67</t>
  </si>
  <si>
    <t xml:space="preserve">Rdo 2431893 Servizio di manutenzione implementativa e manutenzione ordinaria per anni 3 del sistema SIL (Sistema informativo dei laboratori) </t>
  </si>
  <si>
    <t>09401701009-New Genesys</t>
  </si>
  <si>
    <t>87750.0</t>
  </si>
  <si>
    <t>29250.0</t>
  </si>
  <si>
    <t>Fornitura triennale di kit diagnostici per l'esecuzione di prove per Salmonella, Listeria monocytogenes, E.Coli O157, Campylobacter, Legionella spp con consegna in comodato d'uso gratuito di n. 2 termociclatori per la determinazione in PCR RT dei patogeni in oggetto, n. 1 estrattore automatico per acidi nucleici, n. 1 termomixer e n. 1 microcentrifuga</t>
  </si>
  <si>
    <t>00801720152-BIO - RAD LABORATORIES  SRL,07246691005-Servizi Diagnostici S.r.l.</t>
  </si>
  <si>
    <t>219402.0</t>
  </si>
  <si>
    <t>inizio 26/05/2020, ultimazione 26/05/2023</t>
  </si>
  <si>
    <t>80433.29</t>
  </si>
  <si>
    <t>Fornitura biennale di parti di ricambio Agilent</t>
  </si>
  <si>
    <t>01463800035-C.P.S. Analitica SRL,04756320273-D.T.O. S.R.L.</t>
  </si>
  <si>
    <t>11137.57</t>
  </si>
  <si>
    <t>inizio 31/03/2020, ultimazione 31/03/2022</t>
  </si>
  <si>
    <t>2073.2</t>
  </si>
  <si>
    <t>Fornitura biennale di ki merifluor cryptosporidium giardia</t>
  </si>
  <si>
    <t>19200.0</t>
  </si>
  <si>
    <t>inizio 26/03/2020, ultimazione 26/03/2022</t>
  </si>
  <si>
    <t>8160.0</t>
  </si>
  <si>
    <t>Fornitura biennale di colonnine e kit elisa R-Biopharm</t>
  </si>
  <si>
    <t>37258.33</t>
  </si>
  <si>
    <t>inizio 18/03/2020, ultimazione 18/03/2022</t>
  </si>
  <si>
    <t>17685.76</t>
  </si>
  <si>
    <t>Affidamento per anni 4 del servizio di mensa aziendale</t>
  </si>
  <si>
    <t>14662691006-nuvola servizi società cooperativa sociale,06261931007-Comunicazione 2000 Srl,04101480657-Althea Srl,01014660417-EDENRED ITALIA S.R.L.,00464110352-Cir Food s.c.,03792180980-Acquaviva SpA società benefit</t>
  </si>
  <si>
    <t>00464110352-Cir Food s.c.</t>
  </si>
  <si>
    <t>477349.6</t>
  </si>
  <si>
    <t>inizio 13/03/2020, ultimazione 13/03/2024</t>
  </si>
  <si>
    <t>88489.68</t>
  </si>
  <si>
    <t>04052200872-Labochem Science S.r.l.,05515521002-chemical research 2000,00391470580-Chebios,13209130155-Merck Life Science S.r.l.,01022690364-EXACTA+OPTECH Labcenter S.p.A.,04042671000-Spaziani Rolando Srl</t>
  </si>
  <si>
    <t>inizio 28/02/2020, ultimazione 28/02/2022</t>
  </si>
  <si>
    <t>224.8</t>
  </si>
  <si>
    <t>PROCEDURA NEGOZIATA EX ART. 36, C. 2, LETT. B) DEL D.LGS. N. 50/16 VOLTA ALLA REALIZZAZIONE DI N. 4 SOFTWARE APPLICATIVI WEB-ORIENTED E WEB-GIS ORIENTED DELLA DURATA DI ANNI 3 A SUPPORTO DELLE ATTIVIT DI ANALISI E AMMINISTRAZIONE PROPRIE DEL CENTRO DI REFERENZA NAZIONALE PER LANEMIA INFETTIVA EQUINA (CRAIE), CENTRO DI REFERENZA NAZIONALE PER LE MALATTTIE DEGLI EQUINI (CERME) E DEL CENTRO DI REFERENZA NAZIONALE PER LA RICERCA DI OGM (CROGM), DA SVOLGERSI SUL SITO DELLISTITUTO</t>
  </si>
  <si>
    <t>09480371005-REXTART Srl,14001681007-NOPHYS SRL</t>
  </si>
  <si>
    <t>14001681007-NOPHYS SRL</t>
  </si>
  <si>
    <t>inizio 12/02/2020, ultimazione 11/02/2023</t>
  </si>
  <si>
    <t>30000.0</t>
  </si>
  <si>
    <t>Servizio triennale di certificazione sistemi di gestione UNI EN ISO 9001 codice IAF 37</t>
  </si>
  <si>
    <t>1587.0</t>
  </si>
  <si>
    <t>inizio 19/11/2019, ultimazione 26/12/2022</t>
  </si>
  <si>
    <t>529.0</t>
  </si>
  <si>
    <t xml:space="preserve">norme uni prev. 1943/COMM1 uni 13 NOV 2019 </t>
  </si>
  <si>
    <t>168.72</t>
  </si>
  <si>
    <t>inizio 13/11/2019</t>
  </si>
  <si>
    <t>Kit Bovini</t>
  </si>
  <si>
    <t>12873.6</t>
  </si>
  <si>
    <t>inizio 30/10/2019, ultimazione 29/10/2022</t>
  </si>
  <si>
    <t>5922.68</t>
  </si>
  <si>
    <t>Fornitura di kit Elisa per la determinazione dell'Aflatossina M1 per anni 6</t>
  </si>
  <si>
    <t>00801720152-BIO - RAD LABORATORIES  SRL,04959920150-SACCO S.R.L.,10978790151-DIESSECHEM,07995660581-Spectra 2000 Srl,01152200018-AGROLABO SPA,07146020586-Biomerieux Italia Spa,04928241001-3V CHIMICA SRL,11276961007-MICRO LAB EQUIPMENT SRL,01739430476-BIOCLASS SRL,10842130014-IN3DIAGNOSTIC SRL,03680250283-EUROIMMUN ITALIA S.R.L. CON SOCIO UNICO,10926691006-Aurogene s.r.l.,03850330360-ORSELL SPA,00875820326-Eurofins Tecna s.r.l.,12032450152-Idexx Laboratories Italia srl,47812321900022-Innovative Diagnostics SARL,02993600366-Generon SPA</t>
  </si>
  <si>
    <t>74250.0</t>
  </si>
  <si>
    <t>inizio 03/10/2019, ultimazione 02/10/2025</t>
  </si>
  <si>
    <t>15840.0</t>
  </si>
  <si>
    <t xml:space="preserve">norme qualità UNI richiesta n. 9 e n. 12/2019 prev. n. 1651/COMM1 del 02.10.2019 </t>
  </si>
  <si>
    <t>122.75</t>
  </si>
  <si>
    <t>inizio 02/10/2019</t>
  </si>
  <si>
    <t>Adesione alla convenzione CONSIP Apparecchiature multifunzione 30  (Lotto 4) per la fornitura in noleggio per mesi 60 di n. 17 fotocopiatrici</t>
  </si>
  <si>
    <t>02298700010-OLIVETTI SPA</t>
  </si>
  <si>
    <t>50840.0</t>
  </si>
  <si>
    <t>inizio 27/09/2019, ultimazione 27/09/2024</t>
  </si>
  <si>
    <t>10168.0</t>
  </si>
  <si>
    <t>Fornitura triennale di prodotti infungibili ILLUMINA</t>
  </si>
  <si>
    <t>193428.18</t>
  </si>
  <si>
    <t>inizio 09/09/2019, ultimazione 08/09/2022</t>
  </si>
  <si>
    <t>Piastre Petri sterili per distributore di piastre automatiche</t>
  </si>
  <si>
    <t>05748910485-SARTORIUS ITALY SRL,01739430476-BIOCLASS SRL,01625440928-Microbiol di Sergio Murgia &amp; C. srl,10282490159-THERMO FISHER SCIENTIFIC MILANO s.r.l.,01857820284-CLINI-LAB SRL,02518990284-CHEMIL SRL,12864800151-vwr international srl,13110270157-Qiagen,04928241001-3V CHIMICA SRL,10926691006-Aurogene s.r.l.,02173800281-Biosigma,RNDNDR64C05H501S-DITTA EUGENIO SABATINI DI RONDININI ANDREA,04042671000-Spaziani Rolando Srl,11303391004-BIO-CELL S.r.l.,02705540165-Diapath S.p.A.,06754140157-BIO-OPTICA MILANO SPA,11372271004-Bionova Technologies s.r.l.,00381250521-Biotime di G. Niccolai e C.,03450130285-VACUTEST KIMA SRL,11276961007-MICRO LAB EQUIPMENT SRL,09580650159-NEOMED SRL,11222970151-ORMA SRL,07995660581-Spectra 2000 Srl,06267180583-Sigiltech SRL,01870870548-STEROGLASS S.R.L.,01022690364-EXACTA+OPTECH Labcenter S.p.A.,07499941008-LIFELINELAB,05376651005-Bioscientifica,04959920150-SACCO S.R.L.,04437501002-unimed scientifica s.r.l.,06397950962-HAMILTON ITALIA,02829240155-GILSON ITALIA,01086690581-S.I.A.L. SRL,08126390155-EUROCLONE SPA,01802940484-CARLO ERBA REAGENTS SRL,10767630154-EPPENDORF SRL.,13023610150-Starlab Srl,09802470154-Scharlab Italia srl,03586820650-Avantech Group srl,01794050151-LP ITALIANA,04756320273-D.T.O. S.R.L.,05158401009-RESNOVASRL,13209130155-Merck Life Science S.r.l.</t>
  </si>
  <si>
    <t>65100.0</t>
  </si>
  <si>
    <t>inizio 06/09/2019, ultimazione 05/09/2022</t>
  </si>
  <si>
    <t>19950.2</t>
  </si>
  <si>
    <t>Fornitura triennale di emolisina per prova della fissazione del complemento</t>
  </si>
  <si>
    <t>07146020586-Biomerieux Italia Spa,00958350522-SCLAVO DIAGNOSTICS INTERNATIONAL SpA,08126390155-EUROCLONE SPA</t>
  </si>
  <si>
    <t>9180.0</t>
  </si>
  <si>
    <t>inizio 29/08/2019, ultimazione 29/08/2022</t>
  </si>
  <si>
    <t>AFFIDAMENTO TRIENNALE DEL SERVIZIO DI MANUTENZIONE DELLE AREE VERDI DELLE UNIT OPERATIVE TERRITORIALI DELL'ISTITUTO - SIENA</t>
  </si>
  <si>
    <t>11050371001-tecnoimpiantistica edilizia srl,07947601006-Team Service Società Consortile a responsabilità limitata,14662691006-nuvola servizi società cooperativa sociale</t>
  </si>
  <si>
    <t>6567.0</t>
  </si>
  <si>
    <t>inizio 31/07/2019, ultimazione 31/07/2022</t>
  </si>
  <si>
    <t>AFFIDAMENTO TRIENNALE DEL SERVIZIO DI MANUTENZIONE DELLE AREE VERDI DELLE UNIT OPERATIVE TERRITORIALI DELL'ISTITUTO - AREZZO</t>
  </si>
  <si>
    <t>9552.0</t>
  </si>
  <si>
    <t>AFFIDAMENTO TRIENNALE DEL SERVIZIO DI MANUTENZIONE DELLE AREE VERDI DELLE UNIT OPERATIVE TERRITORIALI DELL'ISTITUTO - PISA</t>
  </si>
  <si>
    <t>14662691006-nuvola servizi società cooperativa sociale,07947601006-Team Service Società Consortile a responsabilità limitata,11050371001-tecnoimpiantistica edilizia srl</t>
  </si>
  <si>
    <t>19900.0</t>
  </si>
  <si>
    <t>AFFIDAMENTO TRIENNALE DEL SERVIZIO DI MANUTENZIONE DELLE AREE VERDI DELLE UNIT OPERATIVE TERRITORIALI DELL'ISTITUTO - FIRENZE</t>
  </si>
  <si>
    <t>07947601006-Team Service Società Consortile a responsabilità limitata,14662691006-nuvola servizi società cooperativa sociale,11050371001-tecnoimpiantistica edilizia srl</t>
  </si>
  <si>
    <t>3482.5</t>
  </si>
  <si>
    <t>Fornitura triennale di sacchetti per sterilizzazioni biobag indicator</t>
  </si>
  <si>
    <t>02173800281-Biosigma,01086690581-S.I.A.L. SRL,12864800151-vwr international srl,01739430476-BIOCLASS SRL</t>
  </si>
  <si>
    <t>3942.3</t>
  </si>
  <si>
    <t>inizio 08/07/2019, ultimazione 07/07/2022</t>
  </si>
  <si>
    <t>1496.13</t>
  </si>
  <si>
    <t xml:space="preserve">Fornitura di reagenti </t>
  </si>
  <si>
    <t>1245.94</t>
  </si>
  <si>
    <t>inizio 02/07/2019, ultimazione 02/07/2019</t>
  </si>
  <si>
    <t>Fornitura triennale di sangue di origine animale</t>
  </si>
  <si>
    <t>RCCCHR86R62E058U-Allevamento Blood di Ricci Chiara,01739430476-BIOCLASS SRL,01625440928-Microbiol di Sergio Murgia &amp; C. srl</t>
  </si>
  <si>
    <t>16600.0</t>
  </si>
  <si>
    <t>inizio 01/07/2019, ultimazione 01/07/2022</t>
  </si>
  <si>
    <t>5733.0</t>
  </si>
  <si>
    <t>Adesione al contratto quadro Consip S.p.A. Servizi di connettività nell'ambito del Sistema Pubblico di Connettività SPC 2 in favore di Vodafone Italia  CIG 5133642F61 -  CIG derivato 7089696A36</t>
  </si>
  <si>
    <t>08539010010-vodafone italia</t>
  </si>
  <si>
    <t>671303.5</t>
  </si>
  <si>
    <t>inizio 24/05/2019, ultimazione 23/05/2023</t>
  </si>
  <si>
    <t>40481.06</t>
  </si>
  <si>
    <t>Fornitura triennale di criotubi con tappo a vite</t>
  </si>
  <si>
    <t>13209130155-Merck Life Science S.r.l.,01086690581-S.I.A.L. SRL,02173800281-Biosigma</t>
  </si>
  <si>
    <t>2587.2</t>
  </si>
  <si>
    <t>inizio 22/05/2019, ultimazione 27/06/2022</t>
  </si>
  <si>
    <t>728.0</t>
  </si>
  <si>
    <t>Adesione alla convenzione Consip Veicoli in noleggio 13  Lotto 5 Modello E1, per la fornitura in noleggio per n. 48 mesi di n. 8 FIAT NUOVA PANDA 0.9 TwinAir Turbo 70 CV Natural Power EASY Euro 6D-Temp - Importo mensile della fornitura  1.737,04 I.V.A. esclusa - CIG 71632347B1</t>
  </si>
  <si>
    <t xml:space="preserve">08083020019-Leasys </t>
  </si>
  <si>
    <t>83377.92</t>
  </si>
  <si>
    <t>inizio 21/05/2019, ultimazione 21/05/2023</t>
  </si>
  <si>
    <t>19426.24</t>
  </si>
  <si>
    <t>Fornitura triennale di colonnine SPE (solid phase extraction)</t>
  </si>
  <si>
    <t>13209130155-Merck Life Science S.r.l.,00391470580-Chebios,04756320273-D.T.O. S.R.L.,01463800035-C.P.S. Analitica SRL,03226210155-Restek S.r.l.,02691021204-PHENOMENEX</t>
  </si>
  <si>
    <t>3091.5</t>
  </si>
  <si>
    <t>inizio 21/05/2019, ultimazione 21/05/2022</t>
  </si>
  <si>
    <t>555.0</t>
  </si>
  <si>
    <t>Fornitura triennale di Siero di topo liofilizzato</t>
  </si>
  <si>
    <t>08860270969-PRODOTTI GIANNI SRL,13209130155-Merck Life Science S.r.l.,12792100153-LIFE TECHNOLOGIES ITALIA FIL. LIFE TECHNOLOGIES EUROPE BV</t>
  </si>
  <si>
    <t>inizio 15/05/2019, ultimazione 15/05/2022</t>
  </si>
  <si>
    <t>Convenzione MEPA n. 4890622 per la fornitura di n. 2 fotocopiatrici per mesi 60</t>
  </si>
  <si>
    <t>6240.0</t>
  </si>
  <si>
    <t>inizio 26/04/2019, ultimazione 26/04/2021</t>
  </si>
  <si>
    <t>1248.0</t>
  </si>
  <si>
    <t>Adesione alla convenzione Consip "Apparecchiature multifunzione 29 - Lotto 2" per la fornitura in noleggio per mesi 60 di n. 1 apparecchiatura multifunzione</t>
  </si>
  <si>
    <t>6190.0</t>
  </si>
  <si>
    <t>inizio 26/03/2019, ultimazione 26/03/2024</t>
  </si>
  <si>
    <t>1238.32</t>
  </si>
  <si>
    <t>Fornitura triennale di complemento di cavia liofilizzato</t>
  </si>
  <si>
    <t>7650.0</t>
  </si>
  <si>
    <t>inizio 29/01/2019, ultimazione 29/01/2022</t>
  </si>
  <si>
    <t>1530.0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</si>
</sst>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
    <xf numFmtId="0" fontId="0" fillId="0" borderId="0" xfId="0"/>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8"/>
  <sheetViews>
    <sheetView tabSelected="1" workbookViewId="0">
      <selection activeCell="G1" sqref="G1:G1048576"/>
    </sheetView>
  </sheetViews>
  <sheetFormatPr defaultRowHeight="15" x14ac:dyDescent="0.25"/>
  <cols>
    <col min="1" max="1" width="12.140625" bestFit="1" customWidth="1"/>
    <col min="2" max="2" width="123" bestFit="1" customWidth="1"/>
    <col min="3" max="3" width="255.7109375" bestFit="1" customWidth="1"/>
    <col min="4" max="4" width="73.140625" bestFit="1" customWidth="1"/>
    <col min="5" max="5" width="255.7109375" bestFit="1" customWidth="1"/>
    <col min="6" max="6" width="84.28515625" bestFit="1" customWidth="1"/>
    <col min="7" max="7" width="24.28515625" bestFit="1" customWidth="1"/>
    <col min="8" max="8" width="38.7109375" bestFit="1" customWidth="1"/>
    <col min="9" max="9" width="24" bestFit="1" customWidth="1"/>
  </cols>
  <sheetData>
    <row r="1" spans="1:9" x14ac:dyDescent="0.25">
      <c r="A1" t="s">
        <v>0</v>
      </c>
      <c r="B1" t="s">
        <v>1</v>
      </c>
      <c r="C1" t="s">
        <v>2</v>
      </c>
      <c r="D1" t="s">
        <v>3</v>
      </c>
      <c r="E1" t="s">
        <v>4</v>
      </c>
      <c r="F1" t="s">
        <v>5</v>
      </c>
      <c r="G1" t="s">
        <v>6</v>
      </c>
      <c r="H1" t="s">
        <v>7</v>
      </c>
      <c r="I1" t="s">
        <v>8</v>
      </c>
    </row>
    <row r="2" spans="1:9" x14ac:dyDescent="0.25">
      <c r="A2" t="str">
        <f>"91568106A7"</f>
        <v>91568106A7</v>
      </c>
      <c r="B2" t="s">
        <v>9</v>
      </c>
      <c r="C2" t="s">
        <v>10</v>
      </c>
      <c r="D2" t="s">
        <v>11</v>
      </c>
      <c r="E2" t="s">
        <v>12</v>
      </c>
      <c r="F2" t="s">
        <v>12</v>
      </c>
      <c r="G2" t="s">
        <v>13</v>
      </c>
      <c r="I2" t="s">
        <v>14</v>
      </c>
    </row>
    <row r="3" spans="1:9" x14ac:dyDescent="0.25">
      <c r="A3" t="str">
        <f>"9515291A87"</f>
        <v>9515291A87</v>
      </c>
      <c r="B3" t="s">
        <v>15</v>
      </c>
      <c r="C3" t="s">
        <v>16</v>
      </c>
      <c r="D3" t="s">
        <v>17</v>
      </c>
      <c r="E3" t="s">
        <v>18</v>
      </c>
      <c r="F3" t="s">
        <v>19</v>
      </c>
      <c r="G3" t="s">
        <v>20</v>
      </c>
      <c r="I3" t="s">
        <v>14</v>
      </c>
    </row>
    <row r="4" spans="1:9" x14ac:dyDescent="0.25">
      <c r="A4" t="str">
        <f>"9415300759"</f>
        <v>9415300759</v>
      </c>
      <c r="B4" t="s">
        <v>9</v>
      </c>
      <c r="C4" t="s">
        <v>21</v>
      </c>
      <c r="D4" t="s">
        <v>22</v>
      </c>
      <c r="E4" t="s">
        <v>23</v>
      </c>
      <c r="I4" t="s">
        <v>14</v>
      </c>
    </row>
    <row r="5" spans="1:9" x14ac:dyDescent="0.25">
      <c r="A5" t="str">
        <f>"9404927747"</f>
        <v>9404927747</v>
      </c>
      <c r="B5" t="s">
        <v>24</v>
      </c>
      <c r="C5" t="s">
        <v>25</v>
      </c>
      <c r="D5" t="s">
        <v>26</v>
      </c>
      <c r="E5" t="s">
        <v>27</v>
      </c>
      <c r="F5" t="s">
        <v>28</v>
      </c>
      <c r="G5" t="s">
        <v>29</v>
      </c>
      <c r="I5" t="s">
        <v>14</v>
      </c>
    </row>
    <row r="6" spans="1:9" x14ac:dyDescent="0.25">
      <c r="A6" t="str">
        <f>"9513463605"</f>
        <v>9513463605</v>
      </c>
      <c r="B6" t="s">
        <v>30</v>
      </c>
      <c r="C6" t="s">
        <v>31</v>
      </c>
      <c r="D6" t="s">
        <v>22</v>
      </c>
      <c r="I6" t="s">
        <v>14</v>
      </c>
    </row>
    <row r="7" spans="1:9" x14ac:dyDescent="0.25">
      <c r="A7" t="str">
        <f>"9423509D9F"</f>
        <v>9423509D9F</v>
      </c>
      <c r="B7" t="s">
        <v>15</v>
      </c>
      <c r="C7" t="s">
        <v>32</v>
      </c>
      <c r="D7" t="s">
        <v>17</v>
      </c>
      <c r="E7" t="s">
        <v>33</v>
      </c>
      <c r="F7" t="s">
        <v>33</v>
      </c>
      <c r="G7" t="s">
        <v>34</v>
      </c>
      <c r="I7" t="s">
        <v>34</v>
      </c>
    </row>
    <row r="8" spans="1:9" x14ac:dyDescent="0.25">
      <c r="A8" t="str">
        <f>"9347292D5D"</f>
        <v>9347292D5D</v>
      </c>
      <c r="B8" t="s">
        <v>15</v>
      </c>
      <c r="C8" t="s">
        <v>35</v>
      </c>
      <c r="D8" t="s">
        <v>17</v>
      </c>
      <c r="I8" t="s">
        <v>14</v>
      </c>
    </row>
    <row r="9" spans="1:9" x14ac:dyDescent="0.25">
      <c r="A9" t="str">
        <f>"9438750EE4"</f>
        <v>9438750EE4</v>
      </c>
      <c r="B9" t="s">
        <v>15</v>
      </c>
      <c r="C9" t="s">
        <v>36</v>
      </c>
      <c r="D9" t="s">
        <v>17</v>
      </c>
      <c r="E9" t="s">
        <v>37</v>
      </c>
      <c r="F9" t="s">
        <v>37</v>
      </c>
      <c r="G9" t="s">
        <v>38</v>
      </c>
      <c r="I9" t="s">
        <v>39</v>
      </c>
    </row>
    <row r="10" spans="1:9" x14ac:dyDescent="0.25">
      <c r="A10" t="str">
        <f>"9084132EDC"</f>
        <v>9084132EDC</v>
      </c>
      <c r="B10" t="s">
        <v>15</v>
      </c>
      <c r="C10" t="s">
        <v>40</v>
      </c>
      <c r="D10" t="s">
        <v>17</v>
      </c>
      <c r="I10" t="s">
        <v>14</v>
      </c>
    </row>
    <row r="11" spans="1:9" x14ac:dyDescent="0.25">
      <c r="A11" t="str">
        <f>"9429125819"</f>
        <v>9429125819</v>
      </c>
      <c r="B11" t="s">
        <v>9</v>
      </c>
      <c r="C11" t="s">
        <v>41</v>
      </c>
      <c r="D11" t="s">
        <v>26</v>
      </c>
      <c r="I11" t="s">
        <v>14</v>
      </c>
    </row>
    <row r="12" spans="1:9" x14ac:dyDescent="0.25">
      <c r="A12" t="str">
        <f>"94049065F3"</f>
        <v>94049065F3</v>
      </c>
      <c r="B12" t="s">
        <v>24</v>
      </c>
      <c r="C12" t="s">
        <v>42</v>
      </c>
      <c r="D12" t="s">
        <v>26</v>
      </c>
      <c r="E12" t="s">
        <v>43</v>
      </c>
      <c r="F12" t="s">
        <v>28</v>
      </c>
      <c r="G12" t="s">
        <v>44</v>
      </c>
      <c r="I12" t="s">
        <v>14</v>
      </c>
    </row>
    <row r="13" spans="1:9" x14ac:dyDescent="0.25">
      <c r="A13" t="str">
        <f>"9404934D0C"</f>
        <v>9404934D0C</v>
      </c>
      <c r="B13" t="s">
        <v>24</v>
      </c>
      <c r="C13" t="s">
        <v>45</v>
      </c>
      <c r="D13" t="s">
        <v>26</v>
      </c>
      <c r="E13" t="s">
        <v>46</v>
      </c>
      <c r="F13" t="s">
        <v>47</v>
      </c>
      <c r="G13" t="s">
        <v>48</v>
      </c>
      <c r="I13" t="s">
        <v>14</v>
      </c>
    </row>
    <row r="14" spans="1:9" x14ac:dyDescent="0.25">
      <c r="A14" t="str">
        <f>"925270775C"</f>
        <v>925270775C</v>
      </c>
      <c r="B14" t="s">
        <v>15</v>
      </c>
      <c r="C14" t="s">
        <v>49</v>
      </c>
      <c r="D14" t="s">
        <v>17</v>
      </c>
      <c r="I14" t="s">
        <v>14</v>
      </c>
    </row>
    <row r="15" spans="1:9" x14ac:dyDescent="0.25">
      <c r="A15" t="str">
        <f>"94226053A1"</f>
        <v>94226053A1</v>
      </c>
      <c r="B15" t="s">
        <v>15</v>
      </c>
      <c r="C15" t="s">
        <v>50</v>
      </c>
      <c r="D15" t="s">
        <v>17</v>
      </c>
      <c r="E15" t="s">
        <v>51</v>
      </c>
      <c r="F15" t="s">
        <v>52</v>
      </c>
      <c r="G15" t="s">
        <v>53</v>
      </c>
      <c r="I15" t="s">
        <v>14</v>
      </c>
    </row>
    <row r="16" spans="1:9" x14ac:dyDescent="0.25">
      <c r="A16" t="str">
        <f>"9456709324"</f>
        <v>9456709324</v>
      </c>
      <c r="B16" t="s">
        <v>9</v>
      </c>
      <c r="C16" t="s">
        <v>54</v>
      </c>
      <c r="D16" t="s">
        <v>11</v>
      </c>
      <c r="E16" t="s">
        <v>55</v>
      </c>
      <c r="F16" t="s">
        <v>55</v>
      </c>
      <c r="G16" t="s">
        <v>14</v>
      </c>
      <c r="I16" t="s">
        <v>14</v>
      </c>
    </row>
    <row r="17" spans="1:9" x14ac:dyDescent="0.25">
      <c r="A17" t="str">
        <f>"9239917CB6"</f>
        <v>9239917CB6</v>
      </c>
      <c r="B17" t="s">
        <v>15</v>
      </c>
      <c r="C17" t="s">
        <v>56</v>
      </c>
      <c r="D17" t="s">
        <v>26</v>
      </c>
      <c r="I17" t="s">
        <v>14</v>
      </c>
    </row>
    <row r="18" spans="1:9" x14ac:dyDescent="0.25">
      <c r="A18" t="str">
        <f>"9373824446"</f>
        <v>9373824446</v>
      </c>
      <c r="B18" t="s">
        <v>9</v>
      </c>
      <c r="C18" t="s">
        <v>57</v>
      </c>
      <c r="D18" t="s">
        <v>11</v>
      </c>
      <c r="E18" t="s">
        <v>58</v>
      </c>
      <c r="I18" t="s">
        <v>14</v>
      </c>
    </row>
    <row r="19" spans="1:9" x14ac:dyDescent="0.25">
      <c r="A19" t="str">
        <f>"Z8533E2818"</f>
        <v>Z8533E2818</v>
      </c>
      <c r="B19" t="s">
        <v>30</v>
      </c>
      <c r="C19" t="s">
        <v>59</v>
      </c>
      <c r="D19" t="s">
        <v>11</v>
      </c>
      <c r="E19" t="s">
        <v>60</v>
      </c>
      <c r="F19" t="s">
        <v>60</v>
      </c>
      <c r="G19" t="s">
        <v>61</v>
      </c>
      <c r="I19" t="s">
        <v>14</v>
      </c>
    </row>
    <row r="20" spans="1:9" x14ac:dyDescent="0.25">
      <c r="A20" t="str">
        <f>"9424286ED2"</f>
        <v>9424286ED2</v>
      </c>
      <c r="B20" t="s">
        <v>15</v>
      </c>
      <c r="C20" t="s">
        <v>62</v>
      </c>
      <c r="D20" t="s">
        <v>11</v>
      </c>
      <c r="E20" t="s">
        <v>63</v>
      </c>
      <c r="F20" t="s">
        <v>63</v>
      </c>
      <c r="G20" t="s">
        <v>64</v>
      </c>
      <c r="I20" t="s">
        <v>14</v>
      </c>
    </row>
    <row r="21" spans="1:9" x14ac:dyDescent="0.25">
      <c r="A21" t="str">
        <f>"942397917E"</f>
        <v>942397917E</v>
      </c>
      <c r="B21" t="s">
        <v>15</v>
      </c>
      <c r="C21" t="s">
        <v>65</v>
      </c>
      <c r="D21" t="s">
        <v>17</v>
      </c>
      <c r="E21" t="s">
        <v>66</v>
      </c>
      <c r="F21" t="s">
        <v>66</v>
      </c>
      <c r="G21" t="s">
        <v>67</v>
      </c>
      <c r="I21" t="s">
        <v>14</v>
      </c>
    </row>
    <row r="22" spans="1:9" x14ac:dyDescent="0.25">
      <c r="A22" t="str">
        <f>"9165641E37"</f>
        <v>9165641E37</v>
      </c>
      <c r="B22" t="s">
        <v>15</v>
      </c>
      <c r="C22" t="s">
        <v>68</v>
      </c>
      <c r="D22" t="s">
        <v>11</v>
      </c>
      <c r="E22" t="s">
        <v>69</v>
      </c>
      <c r="F22" t="s">
        <v>70</v>
      </c>
      <c r="G22" t="s">
        <v>71</v>
      </c>
      <c r="I22" t="s">
        <v>72</v>
      </c>
    </row>
    <row r="23" spans="1:9" x14ac:dyDescent="0.25">
      <c r="A23" t="str">
        <f>"929497258B"</f>
        <v>929497258B</v>
      </c>
      <c r="B23" t="s">
        <v>15</v>
      </c>
      <c r="C23" t="s">
        <v>73</v>
      </c>
      <c r="D23" t="s">
        <v>11</v>
      </c>
      <c r="I23" t="s">
        <v>14</v>
      </c>
    </row>
    <row r="24" spans="1:9" x14ac:dyDescent="0.25">
      <c r="A24" t="str">
        <f>"9457058325"</f>
        <v>9457058325</v>
      </c>
      <c r="B24" t="s">
        <v>15</v>
      </c>
      <c r="C24" t="s">
        <v>74</v>
      </c>
      <c r="D24" t="s">
        <v>11</v>
      </c>
      <c r="I24" t="s">
        <v>14</v>
      </c>
    </row>
    <row r="25" spans="1:9" x14ac:dyDescent="0.25">
      <c r="A25" t="str">
        <f>"93473827A4"</f>
        <v>93473827A4</v>
      </c>
      <c r="B25" t="s">
        <v>15</v>
      </c>
      <c r="C25" t="s">
        <v>75</v>
      </c>
      <c r="D25" t="s">
        <v>17</v>
      </c>
      <c r="E25" t="s">
        <v>76</v>
      </c>
      <c r="F25" t="s">
        <v>76</v>
      </c>
      <c r="G25" t="s">
        <v>77</v>
      </c>
      <c r="I25" t="s">
        <v>78</v>
      </c>
    </row>
    <row r="26" spans="1:9" x14ac:dyDescent="0.25">
      <c r="A26" t="str">
        <f>"9423589FA3"</f>
        <v>9423589FA3</v>
      </c>
      <c r="B26" t="s">
        <v>15</v>
      </c>
      <c r="C26" t="s">
        <v>79</v>
      </c>
      <c r="D26" t="s">
        <v>17</v>
      </c>
      <c r="I26" t="s">
        <v>14</v>
      </c>
    </row>
    <row r="27" spans="1:9" x14ac:dyDescent="0.25">
      <c r="A27" t="str">
        <f>"Z9F2E532E4"</f>
        <v>Z9F2E532E4</v>
      </c>
      <c r="B27" t="s">
        <v>80</v>
      </c>
      <c r="C27" t="s">
        <v>81</v>
      </c>
      <c r="D27" t="s">
        <v>11</v>
      </c>
      <c r="E27" t="s">
        <v>82</v>
      </c>
      <c r="F27" t="s">
        <v>82</v>
      </c>
      <c r="G27" t="s">
        <v>83</v>
      </c>
      <c r="I27" t="s">
        <v>14</v>
      </c>
    </row>
    <row r="28" spans="1:9" x14ac:dyDescent="0.25">
      <c r="A28" t="str">
        <f>"9404915D5E"</f>
        <v>9404915D5E</v>
      </c>
      <c r="B28" t="s">
        <v>24</v>
      </c>
      <c r="C28" t="s">
        <v>84</v>
      </c>
      <c r="D28" t="s">
        <v>26</v>
      </c>
      <c r="E28" t="s">
        <v>85</v>
      </c>
      <c r="F28" t="s">
        <v>28</v>
      </c>
      <c r="G28" t="s">
        <v>86</v>
      </c>
      <c r="I28" t="s">
        <v>14</v>
      </c>
    </row>
    <row r="29" spans="1:9" x14ac:dyDescent="0.25">
      <c r="A29" t="str">
        <f>"9156741DB4"</f>
        <v>9156741DB4</v>
      </c>
      <c r="B29" t="s">
        <v>9</v>
      </c>
      <c r="C29" t="s">
        <v>87</v>
      </c>
      <c r="D29" t="s">
        <v>11</v>
      </c>
      <c r="E29" t="s">
        <v>88</v>
      </c>
      <c r="F29" t="s">
        <v>88</v>
      </c>
      <c r="G29" t="s">
        <v>89</v>
      </c>
      <c r="I29" t="s">
        <v>89</v>
      </c>
    </row>
    <row r="30" spans="1:9" x14ac:dyDescent="0.25">
      <c r="A30" t="str">
        <f>"9165987BBF"</f>
        <v>9165987BBF</v>
      </c>
      <c r="B30" t="s">
        <v>15</v>
      </c>
      <c r="C30" t="s">
        <v>90</v>
      </c>
      <c r="D30" t="s">
        <v>11</v>
      </c>
      <c r="E30" t="s">
        <v>91</v>
      </c>
      <c r="F30" t="s">
        <v>91</v>
      </c>
      <c r="G30" t="s">
        <v>92</v>
      </c>
      <c r="I30" t="s">
        <v>92</v>
      </c>
    </row>
    <row r="31" spans="1:9" x14ac:dyDescent="0.25">
      <c r="A31" t="str">
        <f>"934736057D"</f>
        <v>934736057D</v>
      </c>
      <c r="B31" t="s">
        <v>15</v>
      </c>
      <c r="C31" t="s">
        <v>93</v>
      </c>
      <c r="D31" t="s">
        <v>17</v>
      </c>
      <c r="E31" t="s">
        <v>94</v>
      </c>
      <c r="F31" t="s">
        <v>94</v>
      </c>
      <c r="G31" t="s">
        <v>95</v>
      </c>
      <c r="I31" t="s">
        <v>96</v>
      </c>
    </row>
    <row r="32" spans="1:9" x14ac:dyDescent="0.25">
      <c r="A32" t="str">
        <f>"9438701677"</f>
        <v>9438701677</v>
      </c>
      <c r="B32" t="s">
        <v>15</v>
      </c>
      <c r="C32" t="s">
        <v>97</v>
      </c>
      <c r="D32" t="s">
        <v>17</v>
      </c>
      <c r="E32" t="s">
        <v>98</v>
      </c>
      <c r="F32" t="s">
        <v>98</v>
      </c>
      <c r="G32" t="s">
        <v>99</v>
      </c>
      <c r="I32" t="s">
        <v>14</v>
      </c>
    </row>
    <row r="33" spans="1:9" x14ac:dyDescent="0.25">
      <c r="A33" t="str">
        <f>"9429168B94"</f>
        <v>9429168B94</v>
      </c>
      <c r="B33" t="s">
        <v>9</v>
      </c>
      <c r="C33" t="s">
        <v>100</v>
      </c>
      <c r="D33" t="s">
        <v>26</v>
      </c>
      <c r="I33" t="s">
        <v>14</v>
      </c>
    </row>
    <row r="34" spans="1:9" x14ac:dyDescent="0.25">
      <c r="A34" t="str">
        <f>"ZBA3405F5D"</f>
        <v>ZBA3405F5D</v>
      </c>
      <c r="B34" t="s">
        <v>80</v>
      </c>
      <c r="C34" t="s">
        <v>101</v>
      </c>
      <c r="D34" t="s">
        <v>11</v>
      </c>
      <c r="E34" t="s">
        <v>82</v>
      </c>
      <c r="F34" t="s">
        <v>82</v>
      </c>
      <c r="G34" t="s">
        <v>102</v>
      </c>
      <c r="I34" t="s">
        <v>14</v>
      </c>
    </row>
    <row r="35" spans="1:9" x14ac:dyDescent="0.25">
      <c r="A35" t="str">
        <f>"9423259F50"</f>
        <v>9423259F50</v>
      </c>
      <c r="B35" t="s">
        <v>15</v>
      </c>
      <c r="C35" t="s">
        <v>103</v>
      </c>
      <c r="D35" t="s">
        <v>17</v>
      </c>
      <c r="E35" t="s">
        <v>104</v>
      </c>
      <c r="F35" t="s">
        <v>104</v>
      </c>
      <c r="G35" t="s">
        <v>105</v>
      </c>
      <c r="I35" t="s">
        <v>14</v>
      </c>
    </row>
    <row r="36" spans="1:9" x14ac:dyDescent="0.25">
      <c r="A36" t="str">
        <f>"9438169F6F"</f>
        <v>9438169F6F</v>
      </c>
      <c r="B36" t="s">
        <v>15</v>
      </c>
      <c r="C36" t="s">
        <v>106</v>
      </c>
      <c r="D36" t="s">
        <v>17</v>
      </c>
      <c r="E36" t="s">
        <v>63</v>
      </c>
      <c r="F36" t="s">
        <v>63</v>
      </c>
      <c r="G36" t="s">
        <v>107</v>
      </c>
      <c r="I36" t="s">
        <v>108</v>
      </c>
    </row>
    <row r="37" spans="1:9" x14ac:dyDescent="0.25">
      <c r="A37" t="str">
        <f>"951465802C"</f>
        <v>951465802C</v>
      </c>
      <c r="B37" t="s">
        <v>15</v>
      </c>
      <c r="C37" t="s">
        <v>109</v>
      </c>
      <c r="D37" t="s">
        <v>11</v>
      </c>
      <c r="E37" t="s">
        <v>110</v>
      </c>
      <c r="F37" t="s">
        <v>110</v>
      </c>
      <c r="G37" t="s">
        <v>111</v>
      </c>
      <c r="I37" t="s">
        <v>14</v>
      </c>
    </row>
    <row r="38" spans="1:9" x14ac:dyDescent="0.25">
      <c r="A38" t="str">
        <f>"942355211F"</f>
        <v>942355211F</v>
      </c>
      <c r="B38" t="s">
        <v>15</v>
      </c>
      <c r="C38" t="s">
        <v>112</v>
      </c>
      <c r="D38" t="s">
        <v>17</v>
      </c>
      <c r="E38" t="s">
        <v>113</v>
      </c>
      <c r="F38" t="s">
        <v>113</v>
      </c>
      <c r="G38" t="s">
        <v>114</v>
      </c>
      <c r="I38" t="s">
        <v>14</v>
      </c>
    </row>
    <row r="39" spans="1:9" x14ac:dyDescent="0.25">
      <c r="A39" t="str">
        <f>"91661935C0"</f>
        <v>91661935C0</v>
      </c>
      <c r="B39" t="s">
        <v>15</v>
      </c>
      <c r="C39" t="s">
        <v>115</v>
      </c>
      <c r="D39" t="s">
        <v>17</v>
      </c>
      <c r="E39" t="s">
        <v>116</v>
      </c>
      <c r="F39" t="s">
        <v>116</v>
      </c>
      <c r="G39" t="s">
        <v>117</v>
      </c>
      <c r="I39" t="s">
        <v>117</v>
      </c>
    </row>
    <row r="40" spans="1:9" x14ac:dyDescent="0.25">
      <c r="A40" t="str">
        <f>"9166238AE1"</f>
        <v>9166238AE1</v>
      </c>
      <c r="B40" t="s">
        <v>15</v>
      </c>
      <c r="C40" t="s">
        <v>118</v>
      </c>
      <c r="D40" t="s">
        <v>11</v>
      </c>
      <c r="E40" t="s">
        <v>119</v>
      </c>
      <c r="F40" t="s">
        <v>119</v>
      </c>
      <c r="G40" t="s">
        <v>120</v>
      </c>
      <c r="I40" t="s">
        <v>120</v>
      </c>
    </row>
    <row r="41" spans="1:9" x14ac:dyDescent="0.25">
      <c r="A41" t="str">
        <f>"9439098E12"</f>
        <v>9439098E12</v>
      </c>
      <c r="B41" t="s">
        <v>15</v>
      </c>
      <c r="C41" t="s">
        <v>121</v>
      </c>
      <c r="D41" t="s">
        <v>11</v>
      </c>
      <c r="E41" t="s">
        <v>122</v>
      </c>
      <c r="F41" t="s">
        <v>122</v>
      </c>
      <c r="G41" t="s">
        <v>123</v>
      </c>
      <c r="I41" t="s">
        <v>14</v>
      </c>
    </row>
    <row r="42" spans="1:9" x14ac:dyDescent="0.25">
      <c r="A42" t="str">
        <f>"8505110ECA"</f>
        <v>8505110ECA</v>
      </c>
      <c r="B42" t="s">
        <v>9</v>
      </c>
      <c r="C42" t="s">
        <v>124</v>
      </c>
      <c r="D42" t="s">
        <v>11</v>
      </c>
      <c r="E42" t="s">
        <v>125</v>
      </c>
      <c r="F42" t="s">
        <v>125</v>
      </c>
      <c r="G42" t="s">
        <v>126</v>
      </c>
      <c r="I42" t="s">
        <v>14</v>
      </c>
    </row>
    <row r="43" spans="1:9" x14ac:dyDescent="0.25">
      <c r="A43" t="str">
        <f>"9381172409"</f>
        <v>9381172409</v>
      </c>
      <c r="B43" t="s">
        <v>15</v>
      </c>
      <c r="C43" t="s">
        <v>127</v>
      </c>
      <c r="D43" t="s">
        <v>17</v>
      </c>
      <c r="E43" t="s">
        <v>70</v>
      </c>
      <c r="F43" t="s">
        <v>70</v>
      </c>
      <c r="G43" t="s">
        <v>128</v>
      </c>
      <c r="I43" t="s">
        <v>14</v>
      </c>
    </row>
    <row r="44" spans="1:9" x14ac:dyDescent="0.25">
      <c r="A44" t="str">
        <f>"916721839C"</f>
        <v>916721839C</v>
      </c>
      <c r="B44" t="s">
        <v>15</v>
      </c>
      <c r="C44" t="s">
        <v>129</v>
      </c>
      <c r="D44" t="s">
        <v>17</v>
      </c>
      <c r="E44" t="s">
        <v>130</v>
      </c>
      <c r="F44" t="s">
        <v>130</v>
      </c>
      <c r="G44" t="s">
        <v>131</v>
      </c>
      <c r="I44" t="s">
        <v>132</v>
      </c>
    </row>
    <row r="45" spans="1:9" x14ac:dyDescent="0.25">
      <c r="A45" t="str">
        <f>"ZA938853C0"</f>
        <v>ZA938853C0</v>
      </c>
      <c r="B45" t="s">
        <v>30</v>
      </c>
      <c r="C45" t="s">
        <v>133</v>
      </c>
      <c r="D45" t="s">
        <v>11</v>
      </c>
      <c r="E45" t="s">
        <v>134</v>
      </c>
      <c r="F45" t="s">
        <v>134</v>
      </c>
      <c r="G45" t="s">
        <v>135</v>
      </c>
      <c r="I45" t="s">
        <v>14</v>
      </c>
    </row>
    <row r="46" spans="1:9" x14ac:dyDescent="0.25">
      <c r="A46" t="str">
        <f>"9399564D95"</f>
        <v>9399564D95</v>
      </c>
      <c r="B46" t="s">
        <v>15</v>
      </c>
      <c r="C46" t="s">
        <v>136</v>
      </c>
      <c r="D46" t="s">
        <v>11</v>
      </c>
      <c r="E46" t="s">
        <v>137</v>
      </c>
      <c r="F46" t="s">
        <v>138</v>
      </c>
      <c r="G46" t="s">
        <v>139</v>
      </c>
      <c r="I46" t="s">
        <v>14</v>
      </c>
    </row>
    <row r="47" spans="1:9" x14ac:dyDescent="0.25">
      <c r="A47" t="str">
        <f>"9167433508"</f>
        <v>9167433508</v>
      </c>
      <c r="B47" t="s">
        <v>15</v>
      </c>
      <c r="C47" t="s">
        <v>140</v>
      </c>
      <c r="D47" t="s">
        <v>17</v>
      </c>
      <c r="E47" t="s">
        <v>141</v>
      </c>
      <c r="F47" t="s">
        <v>141</v>
      </c>
      <c r="G47" t="s">
        <v>142</v>
      </c>
      <c r="I47" t="s">
        <v>143</v>
      </c>
    </row>
    <row r="48" spans="1:9" x14ac:dyDescent="0.25">
      <c r="A48" t="str">
        <f>"94388300ED"</f>
        <v>94388300ED</v>
      </c>
      <c r="B48" t="s">
        <v>15</v>
      </c>
      <c r="C48" t="s">
        <v>144</v>
      </c>
      <c r="D48" t="s">
        <v>17</v>
      </c>
      <c r="E48" t="s">
        <v>130</v>
      </c>
      <c r="F48" t="s">
        <v>130</v>
      </c>
      <c r="G48" t="s">
        <v>145</v>
      </c>
      <c r="I48" t="s">
        <v>146</v>
      </c>
    </row>
    <row r="49" spans="1:9" x14ac:dyDescent="0.25">
      <c r="A49" t="str">
        <f>"8835237C36"</f>
        <v>8835237C36</v>
      </c>
      <c r="B49" t="s">
        <v>9</v>
      </c>
      <c r="C49" t="s">
        <v>147</v>
      </c>
      <c r="D49" t="s">
        <v>11</v>
      </c>
      <c r="E49" t="s">
        <v>148</v>
      </c>
      <c r="F49" t="s">
        <v>148</v>
      </c>
      <c r="G49" t="s">
        <v>149</v>
      </c>
      <c r="I49" t="s">
        <v>149</v>
      </c>
    </row>
    <row r="50" spans="1:9" x14ac:dyDescent="0.25">
      <c r="A50" t="str">
        <f>"8835570F02"</f>
        <v>8835570F02</v>
      </c>
      <c r="B50" t="s">
        <v>15</v>
      </c>
      <c r="C50" t="s">
        <v>150</v>
      </c>
      <c r="D50" t="s">
        <v>17</v>
      </c>
      <c r="E50" t="s">
        <v>47</v>
      </c>
      <c r="F50" t="s">
        <v>47</v>
      </c>
      <c r="G50" t="s">
        <v>151</v>
      </c>
      <c r="I50" t="s">
        <v>152</v>
      </c>
    </row>
    <row r="51" spans="1:9" x14ac:dyDescent="0.25">
      <c r="A51" t="str">
        <f>"Z6D30247D7"</f>
        <v>Z6D30247D7</v>
      </c>
      <c r="B51" t="s">
        <v>80</v>
      </c>
      <c r="C51" t="s">
        <v>153</v>
      </c>
      <c r="D51" t="s">
        <v>11</v>
      </c>
      <c r="E51" t="s">
        <v>154</v>
      </c>
      <c r="F51" t="s">
        <v>154</v>
      </c>
      <c r="G51" t="s">
        <v>155</v>
      </c>
      <c r="I51" t="s">
        <v>14</v>
      </c>
    </row>
    <row r="52" spans="1:9" x14ac:dyDescent="0.25">
      <c r="A52" t="str">
        <f>"951848457B"</f>
        <v>951848457B</v>
      </c>
      <c r="B52" t="s">
        <v>15</v>
      </c>
      <c r="C52" t="s">
        <v>156</v>
      </c>
      <c r="D52" t="s">
        <v>17</v>
      </c>
      <c r="E52" t="s">
        <v>63</v>
      </c>
      <c r="F52" t="s">
        <v>63</v>
      </c>
      <c r="G52" t="s">
        <v>157</v>
      </c>
      <c r="I52" t="s">
        <v>14</v>
      </c>
    </row>
    <row r="53" spans="1:9" x14ac:dyDescent="0.25">
      <c r="A53" t="str">
        <f>"95105355C2"</f>
        <v>95105355C2</v>
      </c>
      <c r="B53" t="s">
        <v>15</v>
      </c>
      <c r="C53" t="s">
        <v>158</v>
      </c>
      <c r="D53" t="s">
        <v>11</v>
      </c>
      <c r="E53" t="s">
        <v>159</v>
      </c>
      <c r="F53" t="s">
        <v>159</v>
      </c>
      <c r="G53" t="s">
        <v>160</v>
      </c>
      <c r="I53" t="s">
        <v>14</v>
      </c>
    </row>
    <row r="54" spans="1:9" x14ac:dyDescent="0.25">
      <c r="A54" t="str">
        <f>"9167590697"</f>
        <v>9167590697</v>
      </c>
      <c r="B54" t="s">
        <v>15</v>
      </c>
      <c r="C54" t="s">
        <v>161</v>
      </c>
      <c r="D54" t="s">
        <v>17</v>
      </c>
      <c r="E54" t="s">
        <v>37</v>
      </c>
      <c r="F54" t="s">
        <v>37</v>
      </c>
      <c r="G54" t="s">
        <v>162</v>
      </c>
      <c r="I54" t="s">
        <v>163</v>
      </c>
    </row>
    <row r="55" spans="1:9" x14ac:dyDescent="0.25">
      <c r="A55" t="str">
        <f>"9510715A4B"</f>
        <v>9510715A4B</v>
      </c>
      <c r="B55" t="s">
        <v>15</v>
      </c>
      <c r="C55" t="s">
        <v>164</v>
      </c>
      <c r="D55" t="s">
        <v>17</v>
      </c>
      <c r="I55" t="s">
        <v>14</v>
      </c>
    </row>
    <row r="56" spans="1:9" x14ac:dyDescent="0.25">
      <c r="A56" t="str">
        <f>"9335312F27"</f>
        <v>9335312F27</v>
      </c>
      <c r="B56" t="s">
        <v>30</v>
      </c>
      <c r="C56" t="s">
        <v>165</v>
      </c>
      <c r="D56" t="s">
        <v>17</v>
      </c>
      <c r="E56" t="s">
        <v>166</v>
      </c>
      <c r="F56" t="s">
        <v>167</v>
      </c>
      <c r="G56" t="s">
        <v>168</v>
      </c>
      <c r="I56" t="s">
        <v>14</v>
      </c>
    </row>
    <row r="57" spans="1:9" x14ac:dyDescent="0.25">
      <c r="A57" t="str">
        <f>"9421846149"</f>
        <v>9421846149</v>
      </c>
      <c r="B57" t="s">
        <v>15</v>
      </c>
      <c r="C57" t="s">
        <v>169</v>
      </c>
      <c r="D57" t="s">
        <v>11</v>
      </c>
      <c r="E57" t="s">
        <v>170</v>
      </c>
      <c r="F57" t="s">
        <v>170</v>
      </c>
      <c r="G57" t="s">
        <v>171</v>
      </c>
      <c r="I57" t="s">
        <v>14</v>
      </c>
    </row>
    <row r="58" spans="1:9" x14ac:dyDescent="0.25">
      <c r="A58" t="str">
        <f>"9349654A8D"</f>
        <v>9349654A8D</v>
      </c>
      <c r="B58" t="s">
        <v>15</v>
      </c>
      <c r="C58" t="s">
        <v>172</v>
      </c>
      <c r="D58" t="s">
        <v>11</v>
      </c>
      <c r="E58" t="s">
        <v>173</v>
      </c>
      <c r="F58" t="s">
        <v>174</v>
      </c>
      <c r="G58" t="s">
        <v>175</v>
      </c>
      <c r="I58" t="s">
        <v>14</v>
      </c>
    </row>
    <row r="59" spans="1:9" x14ac:dyDescent="0.25">
      <c r="A59" t="str">
        <f>"9518299CCE"</f>
        <v>9518299CCE</v>
      </c>
      <c r="B59" t="s">
        <v>15</v>
      </c>
      <c r="C59" t="s">
        <v>176</v>
      </c>
      <c r="D59" t="s">
        <v>17</v>
      </c>
      <c r="E59" t="s">
        <v>177</v>
      </c>
      <c r="F59" t="s">
        <v>177</v>
      </c>
      <c r="G59" t="s">
        <v>178</v>
      </c>
      <c r="I59" t="s">
        <v>14</v>
      </c>
    </row>
    <row r="60" spans="1:9" x14ac:dyDescent="0.25">
      <c r="A60" t="str">
        <f>"Z4F2D35AE5"</f>
        <v>Z4F2D35AE5</v>
      </c>
      <c r="B60" t="s">
        <v>80</v>
      </c>
      <c r="C60" t="s">
        <v>179</v>
      </c>
      <c r="D60" t="s">
        <v>11</v>
      </c>
      <c r="E60" t="s">
        <v>82</v>
      </c>
      <c r="F60" t="s">
        <v>82</v>
      </c>
      <c r="G60" t="s">
        <v>180</v>
      </c>
      <c r="I60" t="s">
        <v>14</v>
      </c>
    </row>
    <row r="61" spans="1:9" x14ac:dyDescent="0.25">
      <c r="A61" t="str">
        <f>"Z712D35A41"</f>
        <v>Z712D35A41</v>
      </c>
      <c r="B61" t="s">
        <v>80</v>
      </c>
      <c r="C61" t="s">
        <v>181</v>
      </c>
      <c r="D61" t="s">
        <v>11</v>
      </c>
      <c r="E61" t="s">
        <v>82</v>
      </c>
      <c r="F61" t="s">
        <v>82</v>
      </c>
      <c r="G61" t="s">
        <v>182</v>
      </c>
      <c r="I61" t="s">
        <v>14</v>
      </c>
    </row>
    <row r="62" spans="1:9" x14ac:dyDescent="0.25">
      <c r="A62" t="str">
        <f>"Z7C2D71155"</f>
        <v>Z7C2D71155</v>
      </c>
      <c r="B62" t="s">
        <v>80</v>
      </c>
      <c r="C62" t="s">
        <v>183</v>
      </c>
      <c r="D62" t="s">
        <v>11</v>
      </c>
      <c r="E62" t="s">
        <v>82</v>
      </c>
      <c r="F62" t="s">
        <v>82</v>
      </c>
      <c r="G62" t="s">
        <v>184</v>
      </c>
      <c r="I62" t="s">
        <v>14</v>
      </c>
    </row>
    <row r="63" spans="1:9" x14ac:dyDescent="0.25">
      <c r="A63" t="str">
        <f>"94547892B5"</f>
        <v>94547892B5</v>
      </c>
      <c r="B63" t="s">
        <v>15</v>
      </c>
      <c r="C63" t="s">
        <v>185</v>
      </c>
      <c r="D63" t="s">
        <v>11</v>
      </c>
      <c r="E63" t="s">
        <v>186</v>
      </c>
      <c r="F63" t="s">
        <v>186</v>
      </c>
      <c r="G63" t="s">
        <v>187</v>
      </c>
      <c r="I63" t="s">
        <v>187</v>
      </c>
    </row>
    <row r="64" spans="1:9" x14ac:dyDescent="0.25">
      <c r="A64" t="str">
        <f>"9167374458"</f>
        <v>9167374458</v>
      </c>
      <c r="B64" t="s">
        <v>15</v>
      </c>
      <c r="C64" t="s">
        <v>188</v>
      </c>
      <c r="D64" t="s">
        <v>17</v>
      </c>
      <c r="E64" t="s">
        <v>28</v>
      </c>
      <c r="F64" t="s">
        <v>28</v>
      </c>
      <c r="G64" t="s">
        <v>189</v>
      </c>
      <c r="I64" t="s">
        <v>190</v>
      </c>
    </row>
    <row r="65" spans="1:9" x14ac:dyDescent="0.25">
      <c r="A65" t="str">
        <f>"95144726AC"</f>
        <v>95144726AC</v>
      </c>
      <c r="B65" t="s">
        <v>15</v>
      </c>
      <c r="C65" t="s">
        <v>191</v>
      </c>
      <c r="D65" t="s">
        <v>192</v>
      </c>
      <c r="E65" t="s">
        <v>193</v>
      </c>
      <c r="F65" t="s">
        <v>193</v>
      </c>
      <c r="G65" t="s">
        <v>194</v>
      </c>
      <c r="I65" t="s">
        <v>14</v>
      </c>
    </row>
    <row r="66" spans="1:9" x14ac:dyDescent="0.25">
      <c r="A66" t="str">
        <f>"Z1C2F55B7A"</f>
        <v>Z1C2F55B7A</v>
      </c>
      <c r="B66" t="s">
        <v>80</v>
      </c>
      <c r="C66" t="s">
        <v>195</v>
      </c>
      <c r="D66" t="s">
        <v>11</v>
      </c>
      <c r="E66" t="s">
        <v>82</v>
      </c>
      <c r="F66" t="s">
        <v>82</v>
      </c>
      <c r="G66" t="s">
        <v>196</v>
      </c>
      <c r="I66" t="s">
        <v>14</v>
      </c>
    </row>
    <row r="67" spans="1:9" x14ac:dyDescent="0.25">
      <c r="A67" t="str">
        <f>"9313820767"</f>
        <v>9313820767</v>
      </c>
      <c r="B67" t="s">
        <v>9</v>
      </c>
      <c r="C67" t="s">
        <v>197</v>
      </c>
      <c r="D67" t="s">
        <v>11</v>
      </c>
      <c r="E67" t="s">
        <v>198</v>
      </c>
      <c r="F67" t="s">
        <v>198</v>
      </c>
      <c r="G67" t="s">
        <v>199</v>
      </c>
      <c r="I67" t="s">
        <v>199</v>
      </c>
    </row>
    <row r="68" spans="1:9" x14ac:dyDescent="0.25">
      <c r="A68" t="str">
        <f>"9399679C7C"</f>
        <v>9399679C7C</v>
      </c>
      <c r="B68" t="s">
        <v>15</v>
      </c>
      <c r="C68" t="s">
        <v>200</v>
      </c>
      <c r="D68" t="s">
        <v>11</v>
      </c>
      <c r="E68" t="s">
        <v>201</v>
      </c>
      <c r="F68" t="s">
        <v>138</v>
      </c>
      <c r="G68" t="s">
        <v>202</v>
      </c>
      <c r="I68" t="s">
        <v>14</v>
      </c>
    </row>
    <row r="69" spans="1:9" x14ac:dyDescent="0.25">
      <c r="A69" t="str">
        <f>"91655914F7"</f>
        <v>91655914F7</v>
      </c>
      <c r="B69" t="s">
        <v>15</v>
      </c>
      <c r="C69" t="s">
        <v>203</v>
      </c>
      <c r="D69" t="s">
        <v>11</v>
      </c>
      <c r="E69" t="s">
        <v>204</v>
      </c>
      <c r="F69" t="s">
        <v>205</v>
      </c>
      <c r="G69" t="s">
        <v>206</v>
      </c>
      <c r="I69" t="s">
        <v>207</v>
      </c>
    </row>
    <row r="70" spans="1:9" x14ac:dyDescent="0.25">
      <c r="A70" t="str">
        <f>"945298305A"</f>
        <v>945298305A</v>
      </c>
      <c r="B70" t="s">
        <v>15</v>
      </c>
      <c r="C70" t="s">
        <v>208</v>
      </c>
      <c r="D70" t="s">
        <v>11</v>
      </c>
      <c r="E70" t="s">
        <v>209</v>
      </c>
      <c r="I70" t="s">
        <v>14</v>
      </c>
    </row>
    <row r="71" spans="1:9" x14ac:dyDescent="0.25">
      <c r="A71" t="str">
        <f>"91570951D9"</f>
        <v>91570951D9</v>
      </c>
      <c r="B71" t="s">
        <v>9</v>
      </c>
      <c r="C71" t="s">
        <v>210</v>
      </c>
      <c r="D71" t="s">
        <v>11</v>
      </c>
      <c r="E71" t="s">
        <v>211</v>
      </c>
      <c r="I71" t="s">
        <v>14</v>
      </c>
    </row>
    <row r="72" spans="1:9" x14ac:dyDescent="0.25">
      <c r="A72" t="str">
        <f>"9167714CE9"</f>
        <v>9167714CE9</v>
      </c>
      <c r="B72" t="s">
        <v>15</v>
      </c>
      <c r="C72" t="s">
        <v>212</v>
      </c>
      <c r="D72" t="s">
        <v>17</v>
      </c>
      <c r="E72" t="s">
        <v>213</v>
      </c>
      <c r="F72" t="s">
        <v>214</v>
      </c>
      <c r="G72" t="s">
        <v>215</v>
      </c>
      <c r="I72" t="s">
        <v>216</v>
      </c>
    </row>
    <row r="73" spans="1:9" x14ac:dyDescent="0.25">
      <c r="A73" t="str">
        <f>"9347457589"</f>
        <v>9347457589</v>
      </c>
      <c r="B73" t="s">
        <v>15</v>
      </c>
      <c r="C73" t="s">
        <v>217</v>
      </c>
      <c r="D73" t="s">
        <v>17</v>
      </c>
      <c r="E73" t="s">
        <v>218</v>
      </c>
      <c r="F73" t="s">
        <v>218</v>
      </c>
      <c r="G73" t="s">
        <v>219</v>
      </c>
      <c r="I73" t="s">
        <v>220</v>
      </c>
    </row>
    <row r="74" spans="1:9" x14ac:dyDescent="0.25">
      <c r="A74" t="str">
        <f>"95103068C7"</f>
        <v>95103068C7</v>
      </c>
      <c r="B74" t="s">
        <v>15</v>
      </c>
      <c r="C74" t="s">
        <v>221</v>
      </c>
      <c r="D74" t="s">
        <v>17</v>
      </c>
      <c r="E74" t="s">
        <v>222</v>
      </c>
      <c r="F74" t="s">
        <v>222</v>
      </c>
      <c r="G74" t="s">
        <v>223</v>
      </c>
      <c r="I74" t="s">
        <v>14</v>
      </c>
    </row>
    <row r="75" spans="1:9" x14ac:dyDescent="0.25">
      <c r="A75" t="str">
        <f>"Z102CBB68C"</f>
        <v>Z102CBB68C</v>
      </c>
      <c r="B75" t="s">
        <v>80</v>
      </c>
      <c r="C75" t="s">
        <v>224</v>
      </c>
      <c r="D75" t="s">
        <v>11</v>
      </c>
      <c r="E75" t="s">
        <v>82</v>
      </c>
      <c r="F75" t="s">
        <v>82</v>
      </c>
      <c r="G75" t="s">
        <v>102</v>
      </c>
      <c r="I75" t="s">
        <v>14</v>
      </c>
    </row>
    <row r="76" spans="1:9" x14ac:dyDescent="0.25">
      <c r="A76" t="str">
        <f>"Z723481E13"</f>
        <v>Z723481E13</v>
      </c>
      <c r="B76" t="s">
        <v>30</v>
      </c>
      <c r="C76" t="s">
        <v>225</v>
      </c>
      <c r="D76" t="s">
        <v>11</v>
      </c>
      <c r="E76" t="s">
        <v>226</v>
      </c>
      <c r="F76" t="s">
        <v>226</v>
      </c>
      <c r="G76" t="s">
        <v>227</v>
      </c>
      <c r="I76" t="s">
        <v>228</v>
      </c>
    </row>
    <row r="77" spans="1:9" x14ac:dyDescent="0.25">
      <c r="A77" t="str">
        <f>"Z6E357EB64"</f>
        <v>Z6E357EB64</v>
      </c>
      <c r="B77" t="s">
        <v>30</v>
      </c>
      <c r="C77" t="s">
        <v>229</v>
      </c>
      <c r="D77" t="s">
        <v>11</v>
      </c>
      <c r="E77" t="s">
        <v>230</v>
      </c>
      <c r="F77" t="s">
        <v>231</v>
      </c>
      <c r="G77" t="s">
        <v>232</v>
      </c>
      <c r="I77" t="s">
        <v>14</v>
      </c>
    </row>
    <row r="78" spans="1:9" x14ac:dyDescent="0.25">
      <c r="A78" t="str">
        <f>"9510408CF2"</f>
        <v>9510408CF2</v>
      </c>
      <c r="B78" t="s">
        <v>15</v>
      </c>
      <c r="C78" t="s">
        <v>233</v>
      </c>
      <c r="D78" t="s">
        <v>17</v>
      </c>
      <c r="E78" t="s">
        <v>234</v>
      </c>
      <c r="F78" t="s">
        <v>234</v>
      </c>
      <c r="G78" t="s">
        <v>235</v>
      </c>
      <c r="I78" t="s">
        <v>14</v>
      </c>
    </row>
    <row r="79" spans="1:9" x14ac:dyDescent="0.25">
      <c r="A79" t="str">
        <f>"9515158CC5"</f>
        <v>9515158CC5</v>
      </c>
      <c r="B79" t="s">
        <v>15</v>
      </c>
      <c r="C79" t="s">
        <v>236</v>
      </c>
      <c r="D79" t="s">
        <v>17</v>
      </c>
      <c r="E79" t="s">
        <v>237</v>
      </c>
      <c r="F79" t="s">
        <v>237</v>
      </c>
      <c r="G79" t="s">
        <v>238</v>
      </c>
      <c r="I79" t="s">
        <v>14</v>
      </c>
    </row>
    <row r="80" spans="1:9" x14ac:dyDescent="0.25">
      <c r="A80" t="str">
        <f>"95609780A5"</f>
        <v>95609780A5</v>
      </c>
      <c r="B80" t="s">
        <v>9</v>
      </c>
      <c r="C80" t="s">
        <v>239</v>
      </c>
      <c r="D80" t="s">
        <v>11</v>
      </c>
      <c r="I80" t="s">
        <v>14</v>
      </c>
    </row>
    <row r="81" spans="1:9" x14ac:dyDescent="0.25">
      <c r="A81" t="str">
        <f>"9520529D0F"</f>
        <v>9520529D0F</v>
      </c>
      <c r="B81" t="s">
        <v>15</v>
      </c>
      <c r="C81" t="s">
        <v>240</v>
      </c>
      <c r="D81" t="s">
        <v>17</v>
      </c>
      <c r="E81" t="s">
        <v>241</v>
      </c>
      <c r="F81" t="s">
        <v>241</v>
      </c>
      <c r="G81" t="s">
        <v>242</v>
      </c>
      <c r="I81" t="s">
        <v>14</v>
      </c>
    </row>
    <row r="82" spans="1:9" x14ac:dyDescent="0.25">
      <c r="A82" t="str">
        <f>"9399744223"</f>
        <v>9399744223</v>
      </c>
      <c r="B82" t="s">
        <v>15</v>
      </c>
      <c r="C82" t="s">
        <v>243</v>
      </c>
      <c r="D82" t="s">
        <v>11</v>
      </c>
      <c r="E82" t="s">
        <v>244</v>
      </c>
      <c r="F82" t="s">
        <v>122</v>
      </c>
      <c r="G82" t="s">
        <v>245</v>
      </c>
      <c r="I82" t="s">
        <v>14</v>
      </c>
    </row>
    <row r="83" spans="1:9" x14ac:dyDescent="0.25">
      <c r="A83" t="str">
        <f>"9457324EA4"</f>
        <v>9457324EA4</v>
      </c>
      <c r="B83" t="s">
        <v>9</v>
      </c>
      <c r="C83" t="s">
        <v>246</v>
      </c>
      <c r="D83" t="s">
        <v>11</v>
      </c>
      <c r="E83" t="s">
        <v>247</v>
      </c>
      <c r="F83" t="s">
        <v>247</v>
      </c>
      <c r="G83" t="s">
        <v>248</v>
      </c>
      <c r="I83" t="s">
        <v>14</v>
      </c>
    </row>
    <row r="84" spans="1:9" x14ac:dyDescent="0.25">
      <c r="A84" t="str">
        <f>"Z3538F60E7"</f>
        <v>Z3538F60E7</v>
      </c>
      <c r="B84" t="s">
        <v>30</v>
      </c>
      <c r="C84" t="s">
        <v>249</v>
      </c>
      <c r="D84" t="s">
        <v>11</v>
      </c>
      <c r="E84" t="s">
        <v>250</v>
      </c>
      <c r="F84" t="s">
        <v>251</v>
      </c>
      <c r="G84" t="s">
        <v>252</v>
      </c>
      <c r="I84" t="s">
        <v>14</v>
      </c>
    </row>
    <row r="85" spans="1:9" x14ac:dyDescent="0.25">
      <c r="A85" t="str">
        <f>"95183452C7"</f>
        <v>95183452C7</v>
      </c>
      <c r="B85" t="s">
        <v>15</v>
      </c>
      <c r="C85" t="s">
        <v>253</v>
      </c>
      <c r="D85" t="s">
        <v>17</v>
      </c>
      <c r="E85" t="s">
        <v>254</v>
      </c>
      <c r="F85" t="s">
        <v>254</v>
      </c>
      <c r="G85" t="s">
        <v>255</v>
      </c>
      <c r="I85" t="s">
        <v>14</v>
      </c>
    </row>
    <row r="86" spans="1:9" x14ac:dyDescent="0.25">
      <c r="A86" t="str">
        <f>"9387024143"</f>
        <v>9387024143</v>
      </c>
      <c r="B86" t="s">
        <v>9</v>
      </c>
      <c r="C86" t="s">
        <v>256</v>
      </c>
      <c r="D86" t="s">
        <v>26</v>
      </c>
      <c r="E86" t="s">
        <v>257</v>
      </c>
      <c r="F86" t="s">
        <v>186</v>
      </c>
      <c r="G86" t="s">
        <v>258</v>
      </c>
      <c r="I86" t="s">
        <v>14</v>
      </c>
    </row>
    <row r="87" spans="1:9" x14ac:dyDescent="0.25">
      <c r="A87" t="str">
        <f>"9438294699"</f>
        <v>9438294699</v>
      </c>
      <c r="B87" t="s">
        <v>15</v>
      </c>
      <c r="C87" t="s">
        <v>259</v>
      </c>
      <c r="D87" t="s">
        <v>17</v>
      </c>
      <c r="I87" t="s">
        <v>14</v>
      </c>
    </row>
    <row r="88" spans="1:9" x14ac:dyDescent="0.25">
      <c r="A88" t="str">
        <f>"9167535933"</f>
        <v>9167535933</v>
      </c>
      <c r="B88" t="s">
        <v>15</v>
      </c>
      <c r="C88" t="s">
        <v>260</v>
      </c>
      <c r="D88" t="s">
        <v>17</v>
      </c>
      <c r="E88" t="s">
        <v>261</v>
      </c>
      <c r="F88" t="s">
        <v>261</v>
      </c>
      <c r="G88" t="s">
        <v>262</v>
      </c>
      <c r="I88" t="s">
        <v>263</v>
      </c>
    </row>
    <row r="89" spans="1:9" x14ac:dyDescent="0.25">
      <c r="A89" t="str">
        <f>"9373829865"</f>
        <v>9373829865</v>
      </c>
      <c r="B89" t="s">
        <v>9</v>
      </c>
      <c r="C89" t="s">
        <v>264</v>
      </c>
      <c r="D89" t="s">
        <v>11</v>
      </c>
      <c r="E89" t="s">
        <v>265</v>
      </c>
      <c r="I89" t="s">
        <v>14</v>
      </c>
    </row>
    <row r="90" spans="1:9" x14ac:dyDescent="0.25">
      <c r="A90" t="str">
        <f>"9333912BD7"</f>
        <v>9333912BD7</v>
      </c>
      <c r="B90" t="s">
        <v>9</v>
      </c>
      <c r="C90" t="s">
        <v>266</v>
      </c>
      <c r="D90" t="s">
        <v>11</v>
      </c>
      <c r="E90" t="s">
        <v>267</v>
      </c>
      <c r="F90" t="s">
        <v>267</v>
      </c>
      <c r="G90" t="s">
        <v>268</v>
      </c>
      <c r="I90" t="s">
        <v>14</v>
      </c>
    </row>
    <row r="91" spans="1:9" x14ac:dyDescent="0.25">
      <c r="A91" t="str">
        <f>"9433846000"</f>
        <v>9433846000</v>
      </c>
      <c r="B91" t="s">
        <v>9</v>
      </c>
      <c r="C91" t="s">
        <v>269</v>
      </c>
      <c r="D91" t="s">
        <v>11</v>
      </c>
      <c r="E91" t="s">
        <v>270</v>
      </c>
      <c r="F91" t="s">
        <v>270</v>
      </c>
      <c r="G91" t="s">
        <v>271</v>
      </c>
      <c r="I91" t="s">
        <v>14</v>
      </c>
    </row>
    <row r="92" spans="1:9" x14ac:dyDescent="0.25">
      <c r="A92" t="str">
        <f>"9156777B6A"</f>
        <v>9156777B6A</v>
      </c>
      <c r="B92" t="s">
        <v>9</v>
      </c>
      <c r="C92" t="s">
        <v>272</v>
      </c>
      <c r="D92" t="s">
        <v>11</v>
      </c>
      <c r="E92" t="s">
        <v>273</v>
      </c>
      <c r="I92" t="s">
        <v>14</v>
      </c>
    </row>
    <row r="93" spans="1:9" x14ac:dyDescent="0.25">
      <c r="A93" t="str">
        <f>"9024714596"</f>
        <v>9024714596</v>
      </c>
      <c r="B93" t="s">
        <v>274</v>
      </c>
      <c r="C93" t="s">
        <v>275</v>
      </c>
      <c r="D93" t="s">
        <v>26</v>
      </c>
      <c r="E93" t="s">
        <v>276</v>
      </c>
      <c r="F93" t="s">
        <v>277</v>
      </c>
      <c r="G93" t="s">
        <v>278</v>
      </c>
      <c r="I93" t="s">
        <v>279</v>
      </c>
    </row>
    <row r="94" spans="1:9" x14ac:dyDescent="0.25">
      <c r="A94" t="str">
        <f>"942393907C"</f>
        <v>942393907C</v>
      </c>
      <c r="B94" t="s">
        <v>15</v>
      </c>
      <c r="C94" t="s">
        <v>280</v>
      </c>
      <c r="D94" t="s">
        <v>17</v>
      </c>
      <c r="E94" t="s">
        <v>281</v>
      </c>
      <c r="F94" t="s">
        <v>281</v>
      </c>
      <c r="G94" t="s">
        <v>282</v>
      </c>
      <c r="I94" t="s">
        <v>14</v>
      </c>
    </row>
    <row r="95" spans="1:9" x14ac:dyDescent="0.25">
      <c r="A95" t="str">
        <f>"9167252FA7"</f>
        <v>9167252FA7</v>
      </c>
      <c r="B95" t="s">
        <v>15</v>
      </c>
      <c r="C95" t="s">
        <v>283</v>
      </c>
      <c r="D95" t="s">
        <v>17</v>
      </c>
      <c r="E95" t="s">
        <v>284</v>
      </c>
      <c r="F95" t="s">
        <v>284</v>
      </c>
      <c r="G95" t="s">
        <v>285</v>
      </c>
      <c r="I95" t="s">
        <v>286</v>
      </c>
    </row>
    <row r="96" spans="1:9" x14ac:dyDescent="0.25">
      <c r="A96" t="str">
        <f>"9458625047"</f>
        <v>9458625047</v>
      </c>
      <c r="B96" t="s">
        <v>9</v>
      </c>
      <c r="C96" t="s">
        <v>287</v>
      </c>
      <c r="D96" t="s">
        <v>11</v>
      </c>
      <c r="E96" t="s">
        <v>177</v>
      </c>
      <c r="F96" t="s">
        <v>177</v>
      </c>
      <c r="G96" t="s">
        <v>288</v>
      </c>
      <c r="I96" t="s">
        <v>14</v>
      </c>
    </row>
    <row r="97" spans="1:9" x14ac:dyDescent="0.25">
      <c r="A97" t="str">
        <f>"9404893B37"</f>
        <v>9404893B37</v>
      </c>
      <c r="B97" t="s">
        <v>24</v>
      </c>
      <c r="C97" t="s">
        <v>289</v>
      </c>
      <c r="D97" t="s">
        <v>26</v>
      </c>
      <c r="E97" t="s">
        <v>290</v>
      </c>
      <c r="F97" t="s">
        <v>28</v>
      </c>
      <c r="G97" t="s">
        <v>291</v>
      </c>
      <c r="I97" t="s">
        <v>14</v>
      </c>
    </row>
    <row r="98" spans="1:9" x14ac:dyDescent="0.25">
      <c r="A98" t="str">
        <f>"92681818E8"</f>
        <v>92681818E8</v>
      </c>
      <c r="B98" t="s">
        <v>15</v>
      </c>
      <c r="C98" t="s">
        <v>292</v>
      </c>
      <c r="D98" t="s">
        <v>26</v>
      </c>
      <c r="I98" t="s">
        <v>14</v>
      </c>
    </row>
    <row r="99" spans="1:9" x14ac:dyDescent="0.25">
      <c r="A99" t="str">
        <f>"91656093D2"</f>
        <v>91656093D2</v>
      </c>
      <c r="B99" t="s">
        <v>15</v>
      </c>
      <c r="C99" t="s">
        <v>293</v>
      </c>
      <c r="D99" t="s">
        <v>11</v>
      </c>
      <c r="E99" t="s">
        <v>294</v>
      </c>
      <c r="F99" t="s">
        <v>295</v>
      </c>
      <c r="G99" t="s">
        <v>296</v>
      </c>
      <c r="I99" t="s">
        <v>14</v>
      </c>
    </row>
    <row r="100" spans="1:9" x14ac:dyDescent="0.25">
      <c r="A100" t="str">
        <f>"9514707899"</f>
        <v>9514707899</v>
      </c>
      <c r="B100" t="s">
        <v>15</v>
      </c>
      <c r="C100" t="s">
        <v>297</v>
      </c>
      <c r="D100" t="s">
        <v>11</v>
      </c>
      <c r="E100" t="s">
        <v>298</v>
      </c>
      <c r="I100" t="s">
        <v>14</v>
      </c>
    </row>
    <row r="101" spans="1:9" x14ac:dyDescent="0.25">
      <c r="A101" t="str">
        <f>"Z39332B68F"</f>
        <v>Z39332B68F</v>
      </c>
      <c r="B101" t="s">
        <v>80</v>
      </c>
      <c r="C101" t="s">
        <v>299</v>
      </c>
      <c r="D101" t="s">
        <v>11</v>
      </c>
      <c r="E101" t="s">
        <v>82</v>
      </c>
      <c r="F101" t="s">
        <v>82</v>
      </c>
      <c r="G101" t="s">
        <v>300</v>
      </c>
      <c r="I101" t="s">
        <v>14</v>
      </c>
    </row>
    <row r="102" spans="1:9" x14ac:dyDescent="0.25">
      <c r="A102" t="str">
        <f>"95195537A5"</f>
        <v>95195537A5</v>
      </c>
      <c r="B102" t="s">
        <v>274</v>
      </c>
      <c r="C102" t="s">
        <v>301</v>
      </c>
      <c r="D102" t="s">
        <v>22</v>
      </c>
      <c r="E102" t="s">
        <v>302</v>
      </c>
      <c r="F102" t="s">
        <v>302</v>
      </c>
      <c r="G102" t="s">
        <v>303</v>
      </c>
      <c r="I102" t="s">
        <v>14</v>
      </c>
    </row>
    <row r="103" spans="1:9" x14ac:dyDescent="0.25">
      <c r="A103" t="str">
        <f>"9386826DDA"</f>
        <v>9386826DDA</v>
      </c>
      <c r="B103" t="s">
        <v>24</v>
      </c>
      <c r="C103" t="s">
        <v>304</v>
      </c>
      <c r="D103" t="s">
        <v>17</v>
      </c>
      <c r="E103" t="s">
        <v>305</v>
      </c>
      <c r="F103" t="s">
        <v>305</v>
      </c>
      <c r="G103" t="s">
        <v>306</v>
      </c>
      <c r="I103" t="s">
        <v>14</v>
      </c>
    </row>
    <row r="104" spans="1:9" x14ac:dyDescent="0.25">
      <c r="A104" t="str">
        <f>"9165869A5F"</f>
        <v>9165869A5F</v>
      </c>
      <c r="B104" t="s">
        <v>15</v>
      </c>
      <c r="C104" t="s">
        <v>307</v>
      </c>
      <c r="D104" t="s">
        <v>192</v>
      </c>
      <c r="E104" t="s">
        <v>193</v>
      </c>
      <c r="F104" t="s">
        <v>193</v>
      </c>
      <c r="G104" t="s">
        <v>308</v>
      </c>
      <c r="I104" t="s">
        <v>309</v>
      </c>
    </row>
    <row r="105" spans="1:9" x14ac:dyDescent="0.25">
      <c r="A105" t="str">
        <f>"9165681F39"</f>
        <v>9165681F39</v>
      </c>
      <c r="B105" t="s">
        <v>15</v>
      </c>
      <c r="C105" t="s">
        <v>310</v>
      </c>
      <c r="D105" t="s">
        <v>11</v>
      </c>
      <c r="E105" t="s">
        <v>311</v>
      </c>
      <c r="F105" t="s">
        <v>63</v>
      </c>
      <c r="G105" t="s">
        <v>312</v>
      </c>
      <c r="I105" t="s">
        <v>14</v>
      </c>
    </row>
    <row r="106" spans="1:9" x14ac:dyDescent="0.25">
      <c r="A106" t="str">
        <f>"Z5F357EC40"</f>
        <v>Z5F357EC40</v>
      </c>
      <c r="B106" t="s">
        <v>30</v>
      </c>
      <c r="C106" t="s">
        <v>313</v>
      </c>
      <c r="D106" t="s">
        <v>11</v>
      </c>
      <c r="E106" t="s">
        <v>314</v>
      </c>
      <c r="F106" t="s">
        <v>315</v>
      </c>
      <c r="G106" t="s">
        <v>316</v>
      </c>
      <c r="I106" t="s">
        <v>14</v>
      </c>
    </row>
    <row r="107" spans="1:9" x14ac:dyDescent="0.25">
      <c r="A107" t="str">
        <f>"ZF6315CEEB"</f>
        <v>ZF6315CEEB</v>
      </c>
      <c r="B107" t="s">
        <v>80</v>
      </c>
      <c r="C107" t="s">
        <v>317</v>
      </c>
      <c r="D107" t="s">
        <v>11</v>
      </c>
      <c r="E107" t="s">
        <v>82</v>
      </c>
      <c r="F107" t="s">
        <v>82</v>
      </c>
      <c r="G107" t="s">
        <v>83</v>
      </c>
      <c r="I107" t="s">
        <v>14</v>
      </c>
    </row>
    <row r="108" spans="1:9" x14ac:dyDescent="0.25">
      <c r="A108" t="str">
        <f>"9404920182"</f>
        <v>9404920182</v>
      </c>
      <c r="B108" t="s">
        <v>24</v>
      </c>
      <c r="C108" t="s">
        <v>318</v>
      </c>
      <c r="D108" t="s">
        <v>26</v>
      </c>
      <c r="E108" t="s">
        <v>319</v>
      </c>
      <c r="F108" t="s">
        <v>28</v>
      </c>
      <c r="G108" t="s">
        <v>320</v>
      </c>
      <c r="I108" t="s">
        <v>14</v>
      </c>
    </row>
    <row r="109" spans="1:9" x14ac:dyDescent="0.25">
      <c r="A109" t="str">
        <f>"94347298AA"</f>
        <v>94347298AA</v>
      </c>
      <c r="B109" t="s">
        <v>15</v>
      </c>
      <c r="C109" t="s">
        <v>321</v>
      </c>
      <c r="D109" t="s">
        <v>11</v>
      </c>
      <c r="E109" t="s">
        <v>122</v>
      </c>
      <c r="F109" t="s">
        <v>122</v>
      </c>
      <c r="G109" t="s">
        <v>322</v>
      </c>
      <c r="I109" t="s">
        <v>14</v>
      </c>
    </row>
    <row r="110" spans="1:9" x14ac:dyDescent="0.25">
      <c r="A110" t="str">
        <f>"94227066F9"</f>
        <v>94227066F9</v>
      </c>
      <c r="B110" t="s">
        <v>15</v>
      </c>
      <c r="C110" t="s">
        <v>323</v>
      </c>
      <c r="D110" t="s">
        <v>17</v>
      </c>
      <c r="E110" t="s">
        <v>324</v>
      </c>
      <c r="F110" t="s">
        <v>324</v>
      </c>
      <c r="G110" t="s">
        <v>325</v>
      </c>
      <c r="I110" t="s">
        <v>326</v>
      </c>
    </row>
    <row r="111" spans="1:9" x14ac:dyDescent="0.25">
      <c r="A111" t="str">
        <f>"95168587A9"</f>
        <v>95168587A9</v>
      </c>
      <c r="B111" t="s">
        <v>9</v>
      </c>
      <c r="C111" t="s">
        <v>327</v>
      </c>
      <c r="D111" t="s">
        <v>11</v>
      </c>
      <c r="E111" t="s">
        <v>328</v>
      </c>
      <c r="I111" t="s">
        <v>14</v>
      </c>
    </row>
    <row r="112" spans="1:9" x14ac:dyDescent="0.25">
      <c r="A112" t="str">
        <f>"9422077FE5"</f>
        <v>9422077FE5</v>
      </c>
      <c r="B112" t="s">
        <v>15</v>
      </c>
      <c r="C112" t="s">
        <v>329</v>
      </c>
      <c r="D112" t="s">
        <v>11</v>
      </c>
      <c r="E112" t="s">
        <v>330</v>
      </c>
      <c r="F112" t="s">
        <v>330</v>
      </c>
      <c r="G112" t="s">
        <v>61</v>
      </c>
      <c r="I112" t="s">
        <v>61</v>
      </c>
    </row>
    <row r="113" spans="1:9" x14ac:dyDescent="0.25">
      <c r="A113" t="str">
        <f>"Z2534BEC7F"</f>
        <v>Z2534BEC7F</v>
      </c>
      <c r="B113" t="s">
        <v>30</v>
      </c>
      <c r="C113" t="s">
        <v>331</v>
      </c>
      <c r="D113" t="s">
        <v>11</v>
      </c>
      <c r="E113" t="s">
        <v>226</v>
      </c>
      <c r="F113" t="s">
        <v>226</v>
      </c>
      <c r="G113" t="s">
        <v>332</v>
      </c>
      <c r="I113" t="s">
        <v>333</v>
      </c>
    </row>
    <row r="114" spans="1:9" x14ac:dyDescent="0.25">
      <c r="A114" t="str">
        <f>"9418274D90"</f>
        <v>9418274D90</v>
      </c>
      <c r="B114" t="s">
        <v>15</v>
      </c>
      <c r="C114" t="s">
        <v>334</v>
      </c>
      <c r="D114" t="s">
        <v>11</v>
      </c>
      <c r="I114" t="s">
        <v>14</v>
      </c>
    </row>
    <row r="115" spans="1:9" x14ac:dyDescent="0.25">
      <c r="A115" t="str">
        <f>"9329973947"</f>
        <v>9329973947</v>
      </c>
      <c r="B115" t="s">
        <v>9</v>
      </c>
      <c r="C115" t="s">
        <v>335</v>
      </c>
      <c r="D115" t="s">
        <v>11</v>
      </c>
      <c r="E115" t="s">
        <v>336</v>
      </c>
      <c r="F115" t="s">
        <v>336</v>
      </c>
      <c r="G115" t="s">
        <v>337</v>
      </c>
      <c r="I115" t="s">
        <v>14</v>
      </c>
    </row>
    <row r="116" spans="1:9" x14ac:dyDescent="0.25">
      <c r="A116" t="str">
        <f>"94972713F6"</f>
        <v>94972713F6</v>
      </c>
      <c r="B116" t="s">
        <v>24</v>
      </c>
      <c r="C116" t="s">
        <v>338</v>
      </c>
      <c r="D116" t="s">
        <v>11</v>
      </c>
      <c r="E116" t="s">
        <v>205</v>
      </c>
      <c r="F116" t="s">
        <v>205</v>
      </c>
      <c r="G116" t="s">
        <v>126</v>
      </c>
      <c r="I116" t="s">
        <v>14</v>
      </c>
    </row>
    <row r="117" spans="1:9" x14ac:dyDescent="0.25">
      <c r="A117" t="str">
        <f>"9345916DDA"</f>
        <v>9345916DDA</v>
      </c>
      <c r="B117" t="s">
        <v>9</v>
      </c>
      <c r="C117" t="s">
        <v>339</v>
      </c>
      <c r="D117" t="s">
        <v>17</v>
      </c>
      <c r="E117" t="s">
        <v>340</v>
      </c>
      <c r="F117" t="s">
        <v>340</v>
      </c>
      <c r="G117" t="s">
        <v>341</v>
      </c>
      <c r="I117" t="s">
        <v>14</v>
      </c>
    </row>
    <row r="118" spans="1:9" x14ac:dyDescent="0.25">
      <c r="A118" t="str">
        <f>"9493131B84"</f>
        <v>9493131B84</v>
      </c>
      <c r="B118" t="s">
        <v>9</v>
      </c>
      <c r="C118" t="s">
        <v>342</v>
      </c>
      <c r="D118" t="s">
        <v>11</v>
      </c>
      <c r="E118" t="s">
        <v>343</v>
      </c>
      <c r="F118" t="s">
        <v>343</v>
      </c>
      <c r="G118" t="s">
        <v>344</v>
      </c>
      <c r="I118" t="s">
        <v>14</v>
      </c>
    </row>
    <row r="119" spans="1:9" x14ac:dyDescent="0.25">
      <c r="A119" t="str">
        <f>"942252519D"</f>
        <v>942252519D</v>
      </c>
      <c r="B119" t="s">
        <v>15</v>
      </c>
      <c r="C119" t="s">
        <v>345</v>
      </c>
      <c r="D119" t="s">
        <v>17</v>
      </c>
      <c r="E119" t="s">
        <v>346</v>
      </c>
      <c r="F119" t="s">
        <v>346</v>
      </c>
      <c r="G119" t="s">
        <v>347</v>
      </c>
      <c r="I119" t="s">
        <v>348</v>
      </c>
    </row>
    <row r="120" spans="1:9" x14ac:dyDescent="0.25">
      <c r="A120" t="str">
        <f>"9456846432"</f>
        <v>9456846432</v>
      </c>
      <c r="B120" t="s">
        <v>9</v>
      </c>
      <c r="C120" t="s">
        <v>349</v>
      </c>
      <c r="D120" t="s">
        <v>11</v>
      </c>
      <c r="E120" t="s">
        <v>148</v>
      </c>
      <c r="F120" t="s">
        <v>148</v>
      </c>
      <c r="G120" t="s">
        <v>263</v>
      </c>
      <c r="I120" t="s">
        <v>350</v>
      </c>
    </row>
    <row r="121" spans="1:9" x14ac:dyDescent="0.25">
      <c r="A121" t="str">
        <f>"9510793AA9"</f>
        <v>9510793AA9</v>
      </c>
      <c r="B121" t="s">
        <v>15</v>
      </c>
      <c r="C121" t="s">
        <v>351</v>
      </c>
      <c r="D121" t="s">
        <v>17</v>
      </c>
      <c r="I121" t="s">
        <v>14</v>
      </c>
    </row>
    <row r="122" spans="1:9" x14ac:dyDescent="0.25">
      <c r="A122" t="str">
        <f>"93059855C2"</f>
        <v>93059855C2</v>
      </c>
      <c r="B122" t="s">
        <v>15</v>
      </c>
      <c r="C122" t="s">
        <v>352</v>
      </c>
      <c r="D122" t="s">
        <v>11</v>
      </c>
      <c r="I122" t="s">
        <v>14</v>
      </c>
    </row>
    <row r="123" spans="1:9" x14ac:dyDescent="0.25">
      <c r="A123" t="str">
        <f>"94591766F8"</f>
        <v>94591766F8</v>
      </c>
      <c r="B123" t="s">
        <v>15</v>
      </c>
      <c r="C123" t="s">
        <v>79</v>
      </c>
      <c r="D123" t="s">
        <v>17</v>
      </c>
      <c r="E123" t="s">
        <v>237</v>
      </c>
      <c r="F123" t="s">
        <v>237</v>
      </c>
      <c r="G123" t="s">
        <v>353</v>
      </c>
      <c r="I123" t="s">
        <v>353</v>
      </c>
    </row>
    <row r="124" spans="1:9" x14ac:dyDescent="0.25">
      <c r="A124" t="str">
        <f>"9425448DBC"</f>
        <v>9425448DBC</v>
      </c>
      <c r="B124" t="s">
        <v>15</v>
      </c>
      <c r="C124" t="s">
        <v>354</v>
      </c>
      <c r="D124" t="s">
        <v>11</v>
      </c>
      <c r="I124" t="s">
        <v>14</v>
      </c>
    </row>
    <row r="125" spans="1:9" x14ac:dyDescent="0.25">
      <c r="A125" t="str">
        <f>"9156822090"</f>
        <v>9156822090</v>
      </c>
      <c r="B125" t="s">
        <v>9</v>
      </c>
      <c r="C125" t="s">
        <v>355</v>
      </c>
      <c r="D125" t="s">
        <v>11</v>
      </c>
      <c r="E125" t="s">
        <v>356</v>
      </c>
      <c r="F125" t="s">
        <v>356</v>
      </c>
      <c r="G125" t="s">
        <v>357</v>
      </c>
      <c r="I125" t="s">
        <v>357</v>
      </c>
    </row>
    <row r="126" spans="1:9" x14ac:dyDescent="0.25">
      <c r="A126" t="str">
        <f>"9435664C3F"</f>
        <v>9435664C3F</v>
      </c>
      <c r="B126" t="s">
        <v>15</v>
      </c>
      <c r="C126" t="s">
        <v>358</v>
      </c>
      <c r="D126" t="s">
        <v>11</v>
      </c>
      <c r="E126" t="s">
        <v>359</v>
      </c>
      <c r="F126" t="s">
        <v>359</v>
      </c>
      <c r="G126" t="s">
        <v>360</v>
      </c>
      <c r="I126" t="s">
        <v>361</v>
      </c>
    </row>
    <row r="127" spans="1:9" x14ac:dyDescent="0.25">
      <c r="A127" t="str">
        <f>"9439154C49"</f>
        <v>9439154C49</v>
      </c>
      <c r="B127" t="s">
        <v>15</v>
      </c>
      <c r="C127" t="s">
        <v>188</v>
      </c>
      <c r="D127" t="s">
        <v>17</v>
      </c>
      <c r="E127" t="s">
        <v>28</v>
      </c>
      <c r="F127" t="s">
        <v>28</v>
      </c>
      <c r="G127" t="s">
        <v>362</v>
      </c>
      <c r="I127" t="s">
        <v>363</v>
      </c>
    </row>
    <row r="128" spans="1:9" x14ac:dyDescent="0.25">
      <c r="A128" t="str">
        <f>"94474488B7"</f>
        <v>94474488B7</v>
      </c>
      <c r="B128" t="s">
        <v>24</v>
      </c>
      <c r="C128" t="s">
        <v>364</v>
      </c>
      <c r="D128" t="s">
        <v>11</v>
      </c>
      <c r="I128" t="s">
        <v>14</v>
      </c>
    </row>
    <row r="129" spans="1:9" x14ac:dyDescent="0.25">
      <c r="A129" t="str">
        <f>"9429148B13"</f>
        <v>9429148B13</v>
      </c>
      <c r="B129" t="s">
        <v>9</v>
      </c>
      <c r="C129" t="s">
        <v>365</v>
      </c>
      <c r="D129" t="s">
        <v>26</v>
      </c>
      <c r="I129" t="s">
        <v>14</v>
      </c>
    </row>
    <row r="130" spans="1:9" x14ac:dyDescent="0.25">
      <c r="A130" t="str">
        <f>"Z09334B727"</f>
        <v>Z09334B727</v>
      </c>
      <c r="B130" t="s">
        <v>80</v>
      </c>
      <c r="C130" t="s">
        <v>366</v>
      </c>
      <c r="D130" t="s">
        <v>11</v>
      </c>
      <c r="E130" t="s">
        <v>82</v>
      </c>
      <c r="F130" t="s">
        <v>82</v>
      </c>
      <c r="G130" t="s">
        <v>367</v>
      </c>
      <c r="I130" t="s">
        <v>14</v>
      </c>
    </row>
    <row r="131" spans="1:9" x14ac:dyDescent="0.25">
      <c r="A131" t="str">
        <f>"945712499A"</f>
        <v>945712499A</v>
      </c>
      <c r="B131" t="s">
        <v>9</v>
      </c>
      <c r="C131" t="s">
        <v>368</v>
      </c>
      <c r="D131" t="s">
        <v>11</v>
      </c>
      <c r="E131" t="s">
        <v>369</v>
      </c>
      <c r="F131" t="s">
        <v>369</v>
      </c>
      <c r="G131" t="s">
        <v>370</v>
      </c>
      <c r="I131" t="s">
        <v>14</v>
      </c>
    </row>
    <row r="132" spans="1:9" x14ac:dyDescent="0.25">
      <c r="A132" t="str">
        <f>"91673375CF"</f>
        <v>91673375CF</v>
      </c>
      <c r="B132" t="s">
        <v>15</v>
      </c>
      <c r="C132" t="s">
        <v>371</v>
      </c>
      <c r="D132" t="s">
        <v>17</v>
      </c>
      <c r="E132" t="s">
        <v>113</v>
      </c>
      <c r="F132" t="s">
        <v>113</v>
      </c>
      <c r="G132" t="s">
        <v>372</v>
      </c>
      <c r="I132" t="s">
        <v>373</v>
      </c>
    </row>
    <row r="133" spans="1:9" x14ac:dyDescent="0.25">
      <c r="A133" t="str">
        <f>"9167499B7D"</f>
        <v>9167499B7D</v>
      </c>
      <c r="B133" t="s">
        <v>15</v>
      </c>
      <c r="C133" t="s">
        <v>374</v>
      </c>
      <c r="D133" t="s">
        <v>17</v>
      </c>
      <c r="E133" t="s">
        <v>375</v>
      </c>
      <c r="F133" t="s">
        <v>375</v>
      </c>
      <c r="G133" t="s">
        <v>376</v>
      </c>
      <c r="I133" t="s">
        <v>377</v>
      </c>
    </row>
    <row r="134" spans="1:9" x14ac:dyDescent="0.25">
      <c r="A134" t="str">
        <f>"9423702CE4"</f>
        <v>9423702CE4</v>
      </c>
      <c r="B134" t="s">
        <v>15</v>
      </c>
      <c r="C134" t="s">
        <v>378</v>
      </c>
      <c r="D134" t="s">
        <v>17</v>
      </c>
      <c r="E134" t="s">
        <v>379</v>
      </c>
      <c r="F134" t="s">
        <v>379</v>
      </c>
      <c r="G134" t="s">
        <v>380</v>
      </c>
      <c r="I134" t="s">
        <v>14</v>
      </c>
    </row>
    <row r="135" spans="1:9" x14ac:dyDescent="0.25">
      <c r="A135" t="str">
        <f>"9347476537"</f>
        <v>9347476537</v>
      </c>
      <c r="B135" t="s">
        <v>15</v>
      </c>
      <c r="C135" t="s">
        <v>381</v>
      </c>
      <c r="D135" t="s">
        <v>17</v>
      </c>
      <c r="E135" t="s">
        <v>177</v>
      </c>
      <c r="F135" t="s">
        <v>177</v>
      </c>
      <c r="G135" t="s">
        <v>382</v>
      </c>
      <c r="I135" t="s">
        <v>382</v>
      </c>
    </row>
    <row r="136" spans="1:9" x14ac:dyDescent="0.25">
      <c r="A136" t="str">
        <f>"9429095F55"</f>
        <v>9429095F55</v>
      </c>
      <c r="B136" t="s">
        <v>9</v>
      </c>
      <c r="C136" t="s">
        <v>383</v>
      </c>
      <c r="D136" t="s">
        <v>26</v>
      </c>
      <c r="E136" t="s">
        <v>384</v>
      </c>
      <c r="F136" t="s">
        <v>385</v>
      </c>
      <c r="G136" t="s">
        <v>386</v>
      </c>
      <c r="H136" t="s">
        <v>387</v>
      </c>
      <c r="I136" t="s">
        <v>14</v>
      </c>
    </row>
    <row r="137" spans="1:9" x14ac:dyDescent="0.25">
      <c r="A137" t="str">
        <f>"92379949CE"</f>
        <v>92379949CE</v>
      </c>
      <c r="B137" t="s">
        <v>24</v>
      </c>
      <c r="C137" t="s">
        <v>388</v>
      </c>
      <c r="D137" t="s">
        <v>17</v>
      </c>
      <c r="E137" t="s">
        <v>389</v>
      </c>
      <c r="F137" t="s">
        <v>389</v>
      </c>
      <c r="G137" t="s">
        <v>390</v>
      </c>
      <c r="H137" t="s">
        <v>391</v>
      </c>
      <c r="I137" t="s">
        <v>14</v>
      </c>
    </row>
    <row r="138" spans="1:9" x14ac:dyDescent="0.25">
      <c r="A138" t="str">
        <f>"956053858A"</f>
        <v>956053858A</v>
      </c>
      <c r="B138" t="s">
        <v>9</v>
      </c>
      <c r="C138" t="s">
        <v>392</v>
      </c>
      <c r="D138" t="s">
        <v>11</v>
      </c>
      <c r="E138" t="s">
        <v>393</v>
      </c>
      <c r="F138" t="s">
        <v>393</v>
      </c>
      <c r="G138" t="s">
        <v>394</v>
      </c>
      <c r="H138" t="s">
        <v>395</v>
      </c>
      <c r="I138" t="s">
        <v>14</v>
      </c>
    </row>
    <row r="139" spans="1:9" x14ac:dyDescent="0.25">
      <c r="A139" t="str">
        <f>"95707608FF"</f>
        <v>95707608FF</v>
      </c>
      <c r="B139" t="s">
        <v>9</v>
      </c>
      <c r="C139" t="s">
        <v>396</v>
      </c>
      <c r="D139" t="s">
        <v>11</v>
      </c>
      <c r="E139" t="s">
        <v>397</v>
      </c>
      <c r="F139" t="s">
        <v>397</v>
      </c>
      <c r="G139" t="s">
        <v>398</v>
      </c>
      <c r="H139" t="s">
        <v>399</v>
      </c>
      <c r="I139" t="s">
        <v>14</v>
      </c>
    </row>
    <row r="140" spans="1:9" x14ac:dyDescent="0.25">
      <c r="A140" t="str">
        <f>"95622423BA"</f>
        <v>95622423BA</v>
      </c>
      <c r="B140" t="s">
        <v>9</v>
      </c>
      <c r="C140" t="s">
        <v>400</v>
      </c>
      <c r="D140" t="s">
        <v>11</v>
      </c>
      <c r="E140" t="s">
        <v>397</v>
      </c>
      <c r="F140" t="s">
        <v>397</v>
      </c>
      <c r="G140" t="s">
        <v>401</v>
      </c>
      <c r="H140" t="s">
        <v>399</v>
      </c>
      <c r="I140" t="s">
        <v>14</v>
      </c>
    </row>
    <row r="141" spans="1:9" x14ac:dyDescent="0.25">
      <c r="A141" t="str">
        <f>"954524160E"</f>
        <v>954524160E</v>
      </c>
      <c r="B141" t="s">
        <v>9</v>
      </c>
      <c r="C141" t="s">
        <v>402</v>
      </c>
      <c r="D141" t="s">
        <v>11</v>
      </c>
      <c r="E141" t="s">
        <v>403</v>
      </c>
      <c r="F141" t="s">
        <v>403</v>
      </c>
      <c r="G141" t="s">
        <v>404</v>
      </c>
      <c r="H141" t="s">
        <v>405</v>
      </c>
      <c r="I141" t="s">
        <v>14</v>
      </c>
    </row>
    <row r="142" spans="1:9" x14ac:dyDescent="0.25">
      <c r="A142" t="str">
        <f>"9409140BF3"</f>
        <v>9409140BF3</v>
      </c>
      <c r="B142" t="s">
        <v>15</v>
      </c>
      <c r="C142" t="s">
        <v>406</v>
      </c>
      <c r="D142" t="s">
        <v>26</v>
      </c>
      <c r="E142" t="s">
        <v>407</v>
      </c>
      <c r="F142" t="s">
        <v>408</v>
      </c>
      <c r="G142" t="s">
        <v>409</v>
      </c>
      <c r="H142" t="s">
        <v>410</v>
      </c>
      <c r="I142" t="s">
        <v>14</v>
      </c>
    </row>
    <row r="143" spans="1:9" x14ac:dyDescent="0.25">
      <c r="A143" t="str">
        <f>"9481247C87"</f>
        <v>9481247C87</v>
      </c>
      <c r="B143" t="s">
        <v>30</v>
      </c>
      <c r="C143" t="s">
        <v>411</v>
      </c>
      <c r="D143" t="s">
        <v>11</v>
      </c>
      <c r="E143" t="s">
        <v>412</v>
      </c>
      <c r="F143" t="s">
        <v>413</v>
      </c>
      <c r="G143" t="s">
        <v>414</v>
      </c>
      <c r="H143" t="s">
        <v>415</v>
      </c>
      <c r="I143" t="s">
        <v>14</v>
      </c>
    </row>
    <row r="144" spans="1:9" x14ac:dyDescent="0.25">
      <c r="A144" t="str">
        <f>"9543119EEA"</f>
        <v>9543119EEA</v>
      </c>
      <c r="B144" t="s">
        <v>15</v>
      </c>
      <c r="C144" t="s">
        <v>416</v>
      </c>
      <c r="D144" t="s">
        <v>17</v>
      </c>
      <c r="E144" t="s">
        <v>417</v>
      </c>
      <c r="F144" t="s">
        <v>417</v>
      </c>
      <c r="G144" t="s">
        <v>418</v>
      </c>
      <c r="H144" t="s">
        <v>419</v>
      </c>
      <c r="I144" t="s">
        <v>418</v>
      </c>
    </row>
    <row r="145" spans="1:9" x14ac:dyDescent="0.25">
      <c r="A145" t="str">
        <f>"9458511233"</f>
        <v>9458511233</v>
      </c>
      <c r="B145" t="s">
        <v>9</v>
      </c>
      <c r="C145" t="s">
        <v>420</v>
      </c>
      <c r="D145" t="s">
        <v>11</v>
      </c>
      <c r="E145" t="s">
        <v>421</v>
      </c>
      <c r="F145" t="s">
        <v>421</v>
      </c>
      <c r="G145" t="s">
        <v>422</v>
      </c>
      <c r="H145" t="s">
        <v>423</v>
      </c>
      <c r="I145" t="s">
        <v>14</v>
      </c>
    </row>
    <row r="146" spans="1:9" x14ac:dyDescent="0.25">
      <c r="A146" t="str">
        <f>"943807410E"</f>
        <v>943807410E</v>
      </c>
      <c r="B146" t="s">
        <v>9</v>
      </c>
      <c r="C146" t="s">
        <v>424</v>
      </c>
      <c r="D146" t="s">
        <v>425</v>
      </c>
      <c r="E146" t="s">
        <v>426</v>
      </c>
      <c r="F146" t="s">
        <v>427</v>
      </c>
      <c r="G146" t="s">
        <v>428</v>
      </c>
      <c r="H146" t="s">
        <v>429</v>
      </c>
      <c r="I146" t="s">
        <v>14</v>
      </c>
    </row>
    <row r="147" spans="1:9" x14ac:dyDescent="0.25">
      <c r="A147" t="str">
        <f>"9438675104"</f>
        <v>9438675104</v>
      </c>
      <c r="B147" t="s">
        <v>15</v>
      </c>
      <c r="C147" t="s">
        <v>430</v>
      </c>
      <c r="D147" t="s">
        <v>17</v>
      </c>
      <c r="E147" t="s">
        <v>431</v>
      </c>
      <c r="F147" t="s">
        <v>431</v>
      </c>
      <c r="G147" t="s">
        <v>432</v>
      </c>
      <c r="H147" t="s">
        <v>433</v>
      </c>
      <c r="I147" t="s">
        <v>14</v>
      </c>
    </row>
    <row r="148" spans="1:9" x14ac:dyDescent="0.25">
      <c r="A148" t="str">
        <f>"945697704E"</f>
        <v>945697704E</v>
      </c>
      <c r="B148" t="s">
        <v>15</v>
      </c>
      <c r="C148" t="s">
        <v>434</v>
      </c>
      <c r="D148" t="s">
        <v>11</v>
      </c>
      <c r="E148" t="s">
        <v>435</v>
      </c>
      <c r="F148" t="s">
        <v>435</v>
      </c>
      <c r="G148" t="s">
        <v>436</v>
      </c>
      <c r="H148" t="s">
        <v>437</v>
      </c>
      <c r="I148" t="s">
        <v>14</v>
      </c>
    </row>
    <row r="149" spans="1:9" x14ac:dyDescent="0.25">
      <c r="A149" t="str">
        <f>"94967749D1"</f>
        <v>94967749D1</v>
      </c>
      <c r="B149" t="s">
        <v>9</v>
      </c>
      <c r="C149" t="s">
        <v>438</v>
      </c>
      <c r="D149" t="s">
        <v>11</v>
      </c>
      <c r="E149" t="s">
        <v>122</v>
      </c>
      <c r="F149" t="s">
        <v>122</v>
      </c>
      <c r="G149" t="s">
        <v>439</v>
      </c>
      <c r="H149" t="s">
        <v>440</v>
      </c>
      <c r="I149" t="s">
        <v>14</v>
      </c>
    </row>
    <row r="150" spans="1:9" x14ac:dyDescent="0.25">
      <c r="A150" t="str">
        <f>"9496430DEF"</f>
        <v>9496430DEF</v>
      </c>
      <c r="B150" t="s">
        <v>9</v>
      </c>
      <c r="C150" t="s">
        <v>441</v>
      </c>
      <c r="D150" t="s">
        <v>11</v>
      </c>
      <c r="E150" t="s">
        <v>442</v>
      </c>
      <c r="F150" t="s">
        <v>442</v>
      </c>
      <c r="G150" t="s">
        <v>443</v>
      </c>
      <c r="H150" t="s">
        <v>440</v>
      </c>
      <c r="I150" t="s">
        <v>14</v>
      </c>
    </row>
    <row r="151" spans="1:9" x14ac:dyDescent="0.25">
      <c r="A151" t="str">
        <f>"94930600F0"</f>
        <v>94930600F0</v>
      </c>
      <c r="B151" t="s">
        <v>9</v>
      </c>
      <c r="C151" t="s">
        <v>444</v>
      </c>
      <c r="D151" t="s">
        <v>11</v>
      </c>
      <c r="E151" t="s">
        <v>445</v>
      </c>
      <c r="F151" t="s">
        <v>445</v>
      </c>
      <c r="G151" t="s">
        <v>446</v>
      </c>
      <c r="H151" t="s">
        <v>440</v>
      </c>
      <c r="I151" t="s">
        <v>14</v>
      </c>
    </row>
    <row r="152" spans="1:9" x14ac:dyDescent="0.25">
      <c r="A152" t="str">
        <f>"9029514EA9"</f>
        <v>9029514EA9</v>
      </c>
      <c r="B152" t="s">
        <v>15</v>
      </c>
      <c r="C152" t="s">
        <v>447</v>
      </c>
      <c r="D152" t="s">
        <v>11</v>
      </c>
      <c r="E152" t="s">
        <v>448</v>
      </c>
      <c r="F152" t="s">
        <v>66</v>
      </c>
      <c r="G152" t="s">
        <v>449</v>
      </c>
      <c r="H152" t="s">
        <v>450</v>
      </c>
      <c r="I152" t="s">
        <v>14</v>
      </c>
    </row>
    <row r="153" spans="1:9" x14ac:dyDescent="0.25">
      <c r="A153" t="str">
        <f>"9433702928"</f>
        <v>9433702928</v>
      </c>
      <c r="B153" t="s">
        <v>9</v>
      </c>
      <c r="C153" t="s">
        <v>451</v>
      </c>
      <c r="D153" t="s">
        <v>11</v>
      </c>
      <c r="E153" t="s">
        <v>452</v>
      </c>
      <c r="F153" t="s">
        <v>452</v>
      </c>
      <c r="G153" t="s">
        <v>453</v>
      </c>
      <c r="H153" t="s">
        <v>440</v>
      </c>
      <c r="I153" t="s">
        <v>14</v>
      </c>
    </row>
    <row r="154" spans="1:9" x14ac:dyDescent="0.25">
      <c r="A154" t="str">
        <f>"947955476D"</f>
        <v>947955476D</v>
      </c>
      <c r="B154" t="s">
        <v>9</v>
      </c>
      <c r="C154" t="s">
        <v>454</v>
      </c>
      <c r="D154" t="s">
        <v>11</v>
      </c>
      <c r="E154" t="s">
        <v>455</v>
      </c>
      <c r="F154" t="s">
        <v>455</v>
      </c>
      <c r="G154" t="s">
        <v>456</v>
      </c>
      <c r="H154" t="s">
        <v>440</v>
      </c>
      <c r="I154" t="s">
        <v>14</v>
      </c>
    </row>
    <row r="155" spans="1:9" x14ac:dyDescent="0.25">
      <c r="A155" t="str">
        <f>"94496978A6"</f>
        <v>94496978A6</v>
      </c>
      <c r="B155" t="s">
        <v>9</v>
      </c>
      <c r="C155" t="s">
        <v>457</v>
      </c>
      <c r="D155" t="s">
        <v>11</v>
      </c>
      <c r="E155" t="s">
        <v>88</v>
      </c>
      <c r="F155" t="s">
        <v>88</v>
      </c>
      <c r="G155" t="s">
        <v>458</v>
      </c>
      <c r="H155" t="s">
        <v>440</v>
      </c>
      <c r="I155" t="s">
        <v>14</v>
      </c>
    </row>
    <row r="156" spans="1:9" x14ac:dyDescent="0.25">
      <c r="A156" t="str">
        <f>"9457333614"</f>
        <v>9457333614</v>
      </c>
      <c r="B156" t="s">
        <v>9</v>
      </c>
      <c r="C156" t="s">
        <v>459</v>
      </c>
      <c r="D156" t="s">
        <v>11</v>
      </c>
      <c r="E156" t="s">
        <v>460</v>
      </c>
      <c r="F156" t="s">
        <v>460</v>
      </c>
      <c r="G156" t="s">
        <v>370</v>
      </c>
      <c r="H156" t="s">
        <v>440</v>
      </c>
      <c r="I156" t="s">
        <v>14</v>
      </c>
    </row>
    <row r="157" spans="1:9" x14ac:dyDescent="0.25">
      <c r="A157" t="str">
        <f>"946405948D"</f>
        <v>946405948D</v>
      </c>
      <c r="B157" t="s">
        <v>9</v>
      </c>
      <c r="C157" t="s">
        <v>461</v>
      </c>
      <c r="D157" t="s">
        <v>11</v>
      </c>
      <c r="E157" t="s">
        <v>462</v>
      </c>
      <c r="F157" t="s">
        <v>462</v>
      </c>
      <c r="G157" t="s">
        <v>463</v>
      </c>
      <c r="H157" t="s">
        <v>440</v>
      </c>
      <c r="I157" t="s">
        <v>14</v>
      </c>
    </row>
    <row r="158" spans="1:9" x14ac:dyDescent="0.25">
      <c r="A158" t="str">
        <f>"9434026489"</f>
        <v>9434026489</v>
      </c>
      <c r="B158" t="s">
        <v>9</v>
      </c>
      <c r="C158" t="s">
        <v>464</v>
      </c>
      <c r="D158" t="s">
        <v>11</v>
      </c>
      <c r="E158" t="s">
        <v>336</v>
      </c>
      <c r="F158" t="s">
        <v>336</v>
      </c>
      <c r="G158" t="s">
        <v>465</v>
      </c>
      <c r="H158" t="s">
        <v>440</v>
      </c>
      <c r="I158" t="s">
        <v>14</v>
      </c>
    </row>
    <row r="159" spans="1:9" x14ac:dyDescent="0.25">
      <c r="A159" t="str">
        <f>"9433747E49"</f>
        <v>9433747E49</v>
      </c>
      <c r="B159" t="s">
        <v>9</v>
      </c>
      <c r="C159" t="s">
        <v>466</v>
      </c>
      <c r="D159" t="s">
        <v>11</v>
      </c>
      <c r="E159" t="s">
        <v>270</v>
      </c>
      <c r="F159" t="s">
        <v>270</v>
      </c>
      <c r="G159" t="s">
        <v>467</v>
      </c>
      <c r="H159" t="s">
        <v>440</v>
      </c>
      <c r="I159" t="s">
        <v>14</v>
      </c>
    </row>
    <row r="160" spans="1:9" x14ac:dyDescent="0.25">
      <c r="A160" t="str">
        <f>"93059801A3"</f>
        <v>93059801A3</v>
      </c>
      <c r="B160" t="s">
        <v>9</v>
      </c>
      <c r="C160" t="s">
        <v>468</v>
      </c>
      <c r="D160" t="s">
        <v>26</v>
      </c>
      <c r="E160" t="s">
        <v>469</v>
      </c>
      <c r="F160" t="s">
        <v>470</v>
      </c>
      <c r="G160" t="s">
        <v>471</v>
      </c>
      <c r="H160" t="s">
        <v>472</v>
      </c>
      <c r="I160" t="s">
        <v>14</v>
      </c>
    </row>
    <row r="161" spans="1:9" x14ac:dyDescent="0.25">
      <c r="A161" t="str">
        <f>"94511263E7"</f>
        <v>94511263E7</v>
      </c>
      <c r="B161" t="s">
        <v>9</v>
      </c>
      <c r="C161" t="s">
        <v>473</v>
      </c>
      <c r="D161" t="s">
        <v>11</v>
      </c>
      <c r="E161" t="s">
        <v>474</v>
      </c>
      <c r="F161" t="s">
        <v>474</v>
      </c>
      <c r="G161" t="s">
        <v>475</v>
      </c>
      <c r="H161" t="s">
        <v>440</v>
      </c>
      <c r="I161" t="s">
        <v>14</v>
      </c>
    </row>
    <row r="162" spans="1:9" x14ac:dyDescent="0.25">
      <c r="A162" t="str">
        <f>"9473158947"</f>
        <v>9473158947</v>
      </c>
      <c r="B162" t="s">
        <v>9</v>
      </c>
      <c r="C162" t="s">
        <v>476</v>
      </c>
      <c r="D162" t="s">
        <v>11</v>
      </c>
      <c r="E162" t="s">
        <v>477</v>
      </c>
      <c r="F162" t="s">
        <v>477</v>
      </c>
      <c r="G162" t="s">
        <v>478</v>
      </c>
      <c r="H162" t="s">
        <v>479</v>
      </c>
      <c r="I162" t="s">
        <v>14</v>
      </c>
    </row>
    <row r="163" spans="1:9" x14ac:dyDescent="0.25">
      <c r="A163" t="str">
        <f>"929589600F"</f>
        <v>929589600F</v>
      </c>
      <c r="B163" t="s">
        <v>15</v>
      </c>
      <c r="C163" t="s">
        <v>480</v>
      </c>
      <c r="D163" t="s">
        <v>17</v>
      </c>
      <c r="E163" t="s">
        <v>159</v>
      </c>
      <c r="F163" t="s">
        <v>159</v>
      </c>
      <c r="G163" t="s">
        <v>481</v>
      </c>
      <c r="H163" t="s">
        <v>482</v>
      </c>
      <c r="I163" t="s">
        <v>483</v>
      </c>
    </row>
    <row r="164" spans="1:9" x14ac:dyDescent="0.25">
      <c r="A164" t="str">
        <f>"929584779D"</f>
        <v>929584779D</v>
      </c>
      <c r="B164" t="s">
        <v>15</v>
      </c>
      <c r="C164" t="s">
        <v>484</v>
      </c>
      <c r="D164" t="s">
        <v>17</v>
      </c>
      <c r="E164" t="s">
        <v>485</v>
      </c>
      <c r="F164" t="s">
        <v>485</v>
      </c>
      <c r="G164" t="s">
        <v>486</v>
      </c>
      <c r="H164" t="s">
        <v>482</v>
      </c>
      <c r="I164" t="s">
        <v>487</v>
      </c>
    </row>
    <row r="165" spans="1:9" x14ac:dyDescent="0.25">
      <c r="A165" t="str">
        <f>"90812157AF"</f>
        <v>90812157AF</v>
      </c>
      <c r="B165" t="s">
        <v>15</v>
      </c>
      <c r="C165" t="s">
        <v>488</v>
      </c>
      <c r="D165" t="s">
        <v>17</v>
      </c>
      <c r="E165" t="s">
        <v>489</v>
      </c>
      <c r="F165" t="s">
        <v>489</v>
      </c>
      <c r="G165" t="s">
        <v>490</v>
      </c>
      <c r="H165" t="s">
        <v>482</v>
      </c>
      <c r="I165" t="s">
        <v>491</v>
      </c>
    </row>
    <row r="166" spans="1:9" x14ac:dyDescent="0.25">
      <c r="A166" t="str">
        <f>"9295873D10"</f>
        <v>9295873D10</v>
      </c>
      <c r="B166" t="s">
        <v>15</v>
      </c>
      <c r="C166" t="s">
        <v>492</v>
      </c>
      <c r="D166" t="s">
        <v>17</v>
      </c>
      <c r="E166" t="s">
        <v>47</v>
      </c>
      <c r="F166" t="s">
        <v>47</v>
      </c>
      <c r="G166" t="s">
        <v>493</v>
      </c>
      <c r="H166" t="s">
        <v>482</v>
      </c>
      <c r="I166" t="s">
        <v>494</v>
      </c>
    </row>
    <row r="167" spans="1:9" x14ac:dyDescent="0.25">
      <c r="A167" t="str">
        <f>"9421919D83"</f>
        <v>9421919D83</v>
      </c>
      <c r="B167" t="s">
        <v>15</v>
      </c>
      <c r="C167" t="s">
        <v>495</v>
      </c>
      <c r="D167" t="s">
        <v>11</v>
      </c>
      <c r="E167" t="s">
        <v>496</v>
      </c>
      <c r="F167" t="s">
        <v>496</v>
      </c>
      <c r="G167" t="s">
        <v>497</v>
      </c>
      <c r="H167" t="s">
        <v>498</v>
      </c>
      <c r="I167" t="s">
        <v>14</v>
      </c>
    </row>
    <row r="168" spans="1:9" x14ac:dyDescent="0.25">
      <c r="A168" t="str">
        <f>"9492458027"</f>
        <v>9492458027</v>
      </c>
      <c r="B168" t="s">
        <v>15</v>
      </c>
      <c r="C168" t="s">
        <v>499</v>
      </c>
      <c r="D168" t="s">
        <v>17</v>
      </c>
      <c r="E168" t="s">
        <v>500</v>
      </c>
      <c r="F168" t="s">
        <v>500</v>
      </c>
      <c r="G168" t="s">
        <v>501</v>
      </c>
      <c r="H168" t="s">
        <v>502</v>
      </c>
      <c r="I168" t="s">
        <v>14</v>
      </c>
    </row>
    <row r="169" spans="1:9" x14ac:dyDescent="0.25">
      <c r="A169" t="str">
        <f>"9294864C69"</f>
        <v>9294864C69</v>
      </c>
      <c r="B169" t="s">
        <v>15</v>
      </c>
      <c r="C169" t="s">
        <v>503</v>
      </c>
      <c r="D169" t="s">
        <v>17</v>
      </c>
      <c r="E169" t="s">
        <v>504</v>
      </c>
      <c r="F169" t="s">
        <v>504</v>
      </c>
      <c r="G169" t="s">
        <v>505</v>
      </c>
      <c r="H169" t="s">
        <v>506</v>
      </c>
      <c r="I169" t="s">
        <v>507</v>
      </c>
    </row>
    <row r="170" spans="1:9" x14ac:dyDescent="0.25">
      <c r="A170" t="str">
        <f>"9472043129"</f>
        <v>9472043129</v>
      </c>
      <c r="B170" t="s">
        <v>9</v>
      </c>
      <c r="C170" t="s">
        <v>508</v>
      </c>
      <c r="D170" t="s">
        <v>11</v>
      </c>
      <c r="E170" t="s">
        <v>509</v>
      </c>
      <c r="F170" t="s">
        <v>509</v>
      </c>
      <c r="G170" t="s">
        <v>510</v>
      </c>
      <c r="H170" t="s">
        <v>511</v>
      </c>
      <c r="I170" t="s">
        <v>14</v>
      </c>
    </row>
    <row r="171" spans="1:9" x14ac:dyDescent="0.25">
      <c r="A171" t="str">
        <f>"9200789B44"</f>
        <v>9200789B44</v>
      </c>
      <c r="B171" t="s">
        <v>274</v>
      </c>
      <c r="C171" t="s">
        <v>512</v>
      </c>
      <c r="D171" t="s">
        <v>26</v>
      </c>
      <c r="E171" t="s">
        <v>513</v>
      </c>
      <c r="F171" t="s">
        <v>514</v>
      </c>
      <c r="G171" t="s">
        <v>515</v>
      </c>
      <c r="H171" t="s">
        <v>516</v>
      </c>
      <c r="I171" t="s">
        <v>14</v>
      </c>
    </row>
    <row r="172" spans="1:9" x14ac:dyDescent="0.25">
      <c r="A172" t="str">
        <f>"9099618A51"</f>
        <v>9099618A51</v>
      </c>
      <c r="B172" t="s">
        <v>24</v>
      </c>
      <c r="C172" t="s">
        <v>517</v>
      </c>
      <c r="D172" t="s">
        <v>17</v>
      </c>
      <c r="E172" t="s">
        <v>122</v>
      </c>
      <c r="F172" t="s">
        <v>122</v>
      </c>
      <c r="G172" t="s">
        <v>518</v>
      </c>
      <c r="H172" t="s">
        <v>519</v>
      </c>
      <c r="I172" t="s">
        <v>14</v>
      </c>
    </row>
    <row r="173" spans="1:9" x14ac:dyDescent="0.25">
      <c r="A173" t="str">
        <f>"94609005A9"</f>
        <v>94609005A9</v>
      </c>
      <c r="B173" t="s">
        <v>15</v>
      </c>
      <c r="C173" t="s">
        <v>520</v>
      </c>
      <c r="D173" t="s">
        <v>17</v>
      </c>
      <c r="E173" t="s">
        <v>521</v>
      </c>
      <c r="F173" t="s">
        <v>521</v>
      </c>
      <c r="G173" t="s">
        <v>522</v>
      </c>
      <c r="H173" t="s">
        <v>523</v>
      </c>
      <c r="I173" t="s">
        <v>524</v>
      </c>
    </row>
    <row r="174" spans="1:9" x14ac:dyDescent="0.25">
      <c r="A174" t="str">
        <f>"92947752FA"</f>
        <v>92947752FA</v>
      </c>
      <c r="B174" t="s">
        <v>15</v>
      </c>
      <c r="C174" t="s">
        <v>525</v>
      </c>
      <c r="D174" t="s">
        <v>17</v>
      </c>
      <c r="E174" t="s">
        <v>526</v>
      </c>
      <c r="F174" t="s">
        <v>526</v>
      </c>
      <c r="G174" t="s">
        <v>527</v>
      </c>
      <c r="H174" t="s">
        <v>528</v>
      </c>
      <c r="I174" t="s">
        <v>529</v>
      </c>
    </row>
    <row r="175" spans="1:9" x14ac:dyDescent="0.25">
      <c r="A175" t="str">
        <f>"9276962738"</f>
        <v>9276962738</v>
      </c>
      <c r="B175" t="s">
        <v>15</v>
      </c>
      <c r="C175" t="s">
        <v>49</v>
      </c>
      <c r="D175" t="s">
        <v>17</v>
      </c>
      <c r="E175" t="s">
        <v>530</v>
      </c>
      <c r="F175" t="s">
        <v>530</v>
      </c>
      <c r="G175" t="s">
        <v>531</v>
      </c>
      <c r="H175" t="s">
        <v>532</v>
      </c>
      <c r="I175" t="s">
        <v>533</v>
      </c>
    </row>
    <row r="176" spans="1:9" x14ac:dyDescent="0.25">
      <c r="A176" t="str">
        <f>"926792667A"</f>
        <v>926792667A</v>
      </c>
      <c r="B176" t="s">
        <v>15</v>
      </c>
      <c r="C176" t="s">
        <v>534</v>
      </c>
      <c r="D176" t="s">
        <v>26</v>
      </c>
      <c r="E176" t="s">
        <v>535</v>
      </c>
      <c r="F176" t="s">
        <v>343</v>
      </c>
      <c r="G176" t="s">
        <v>536</v>
      </c>
      <c r="H176" t="s">
        <v>537</v>
      </c>
      <c r="I176" t="s">
        <v>14</v>
      </c>
    </row>
    <row r="177" spans="1:9" x14ac:dyDescent="0.25">
      <c r="A177" t="str">
        <f>"88846125C2"</f>
        <v>88846125C2</v>
      </c>
      <c r="B177" t="s">
        <v>24</v>
      </c>
      <c r="C177" t="s">
        <v>538</v>
      </c>
      <c r="D177" t="s">
        <v>22</v>
      </c>
      <c r="E177" t="s">
        <v>539</v>
      </c>
      <c r="F177" t="s">
        <v>267</v>
      </c>
      <c r="G177" t="s">
        <v>540</v>
      </c>
      <c r="H177" t="s">
        <v>541</v>
      </c>
      <c r="I177" t="s">
        <v>14</v>
      </c>
    </row>
    <row r="178" spans="1:9" x14ac:dyDescent="0.25">
      <c r="A178" t="str">
        <f>"9295410EFB"</f>
        <v>9295410EFB</v>
      </c>
      <c r="B178" t="s">
        <v>15</v>
      </c>
      <c r="C178" t="s">
        <v>542</v>
      </c>
      <c r="D178" t="s">
        <v>11</v>
      </c>
      <c r="E178" t="s">
        <v>543</v>
      </c>
      <c r="F178" t="s">
        <v>544</v>
      </c>
      <c r="G178" t="s">
        <v>545</v>
      </c>
      <c r="H178" t="s">
        <v>546</v>
      </c>
      <c r="I178" t="s">
        <v>547</v>
      </c>
    </row>
    <row r="179" spans="1:9" x14ac:dyDescent="0.25">
      <c r="A179" t="str">
        <f>"9146932F0F"</f>
        <v>9146932F0F</v>
      </c>
      <c r="B179" t="s">
        <v>274</v>
      </c>
      <c r="C179" t="s">
        <v>548</v>
      </c>
      <c r="D179" t="s">
        <v>26</v>
      </c>
      <c r="E179" t="s">
        <v>549</v>
      </c>
      <c r="F179" t="s">
        <v>550</v>
      </c>
      <c r="G179" t="s">
        <v>551</v>
      </c>
      <c r="H179" t="s">
        <v>552</v>
      </c>
      <c r="I179" t="s">
        <v>14</v>
      </c>
    </row>
    <row r="180" spans="1:9" x14ac:dyDescent="0.25">
      <c r="A180" t="str">
        <f>"925357647C"</f>
        <v>925357647C</v>
      </c>
      <c r="B180" t="s">
        <v>15</v>
      </c>
      <c r="C180" t="s">
        <v>553</v>
      </c>
      <c r="D180" t="s">
        <v>26</v>
      </c>
      <c r="E180" t="s">
        <v>554</v>
      </c>
      <c r="F180" t="s">
        <v>138</v>
      </c>
      <c r="G180" t="s">
        <v>555</v>
      </c>
      <c r="H180" t="s">
        <v>556</v>
      </c>
      <c r="I180" t="s">
        <v>557</v>
      </c>
    </row>
    <row r="181" spans="1:9" x14ac:dyDescent="0.25">
      <c r="A181" t="str">
        <f>"929898010E"</f>
        <v>929898010E</v>
      </c>
      <c r="B181" t="s">
        <v>15</v>
      </c>
      <c r="C181" t="s">
        <v>558</v>
      </c>
      <c r="D181" t="s">
        <v>17</v>
      </c>
      <c r="E181" t="s">
        <v>559</v>
      </c>
      <c r="F181" t="s">
        <v>559</v>
      </c>
      <c r="G181" t="s">
        <v>560</v>
      </c>
      <c r="H181" t="s">
        <v>561</v>
      </c>
      <c r="I181" t="s">
        <v>562</v>
      </c>
    </row>
    <row r="182" spans="1:9" x14ac:dyDescent="0.25">
      <c r="A182" t="str">
        <f>"941853227C"</f>
        <v>941853227C</v>
      </c>
      <c r="B182" t="s">
        <v>9</v>
      </c>
      <c r="C182" t="s">
        <v>563</v>
      </c>
      <c r="D182" t="s">
        <v>11</v>
      </c>
      <c r="E182" t="s">
        <v>564</v>
      </c>
      <c r="F182" t="s">
        <v>564</v>
      </c>
      <c r="G182" t="s">
        <v>565</v>
      </c>
      <c r="H182" t="s">
        <v>566</v>
      </c>
      <c r="I182" t="s">
        <v>565</v>
      </c>
    </row>
    <row r="183" spans="1:9" x14ac:dyDescent="0.25">
      <c r="A183" t="str">
        <f>"9156196BF5"</f>
        <v>9156196BF5</v>
      </c>
      <c r="B183" t="s">
        <v>30</v>
      </c>
      <c r="C183" t="s">
        <v>567</v>
      </c>
      <c r="D183" t="s">
        <v>26</v>
      </c>
      <c r="E183" t="s">
        <v>568</v>
      </c>
      <c r="F183" t="s">
        <v>569</v>
      </c>
      <c r="G183" t="s">
        <v>570</v>
      </c>
      <c r="H183" t="s">
        <v>571</v>
      </c>
      <c r="I183" t="s">
        <v>14</v>
      </c>
    </row>
    <row r="184" spans="1:9" x14ac:dyDescent="0.25">
      <c r="A184" t="str">
        <f>"9385160F06"</f>
        <v>9385160F06</v>
      </c>
      <c r="B184" t="s">
        <v>9</v>
      </c>
      <c r="C184" t="s">
        <v>572</v>
      </c>
      <c r="D184" t="s">
        <v>11</v>
      </c>
      <c r="E184" t="s">
        <v>573</v>
      </c>
      <c r="F184" t="s">
        <v>573</v>
      </c>
      <c r="G184" t="s">
        <v>574</v>
      </c>
      <c r="H184" t="s">
        <v>575</v>
      </c>
      <c r="I184" t="s">
        <v>14</v>
      </c>
    </row>
    <row r="185" spans="1:9" x14ac:dyDescent="0.25">
      <c r="A185" t="str">
        <f>"90834403D1"</f>
        <v>90834403D1</v>
      </c>
      <c r="B185" t="s">
        <v>15</v>
      </c>
      <c r="C185" t="s">
        <v>576</v>
      </c>
      <c r="D185" t="s">
        <v>17</v>
      </c>
      <c r="E185" t="s">
        <v>63</v>
      </c>
      <c r="F185" t="s">
        <v>63</v>
      </c>
      <c r="G185" t="s">
        <v>577</v>
      </c>
      <c r="H185" t="s">
        <v>578</v>
      </c>
      <c r="I185" t="s">
        <v>579</v>
      </c>
    </row>
    <row r="186" spans="1:9" x14ac:dyDescent="0.25">
      <c r="A186" t="str">
        <f>"9353192236"</f>
        <v>9353192236</v>
      </c>
      <c r="B186" t="s">
        <v>9</v>
      </c>
      <c r="C186" t="s">
        <v>580</v>
      </c>
      <c r="D186" t="s">
        <v>11</v>
      </c>
      <c r="E186" t="s">
        <v>581</v>
      </c>
      <c r="F186" t="s">
        <v>581</v>
      </c>
      <c r="G186" t="s">
        <v>582</v>
      </c>
      <c r="H186" t="s">
        <v>575</v>
      </c>
      <c r="I186" t="s">
        <v>582</v>
      </c>
    </row>
    <row r="187" spans="1:9" x14ac:dyDescent="0.25">
      <c r="A187" t="str">
        <f>"93002411AA"</f>
        <v>93002411AA</v>
      </c>
      <c r="B187" t="s">
        <v>15</v>
      </c>
      <c r="C187" t="s">
        <v>583</v>
      </c>
      <c r="D187" t="s">
        <v>17</v>
      </c>
      <c r="E187" t="s">
        <v>584</v>
      </c>
      <c r="F187" t="s">
        <v>584</v>
      </c>
      <c r="G187" t="s">
        <v>585</v>
      </c>
      <c r="H187" t="s">
        <v>586</v>
      </c>
      <c r="I187" t="s">
        <v>587</v>
      </c>
    </row>
    <row r="188" spans="1:9" x14ac:dyDescent="0.25">
      <c r="A188" t="str">
        <f>"9083447996"</f>
        <v>9083447996</v>
      </c>
      <c r="B188" t="s">
        <v>15</v>
      </c>
      <c r="C188" t="s">
        <v>588</v>
      </c>
      <c r="D188" t="s">
        <v>17</v>
      </c>
      <c r="E188" t="s">
        <v>589</v>
      </c>
      <c r="F188" t="s">
        <v>589</v>
      </c>
      <c r="G188" t="s">
        <v>590</v>
      </c>
      <c r="H188" t="s">
        <v>578</v>
      </c>
      <c r="I188" t="s">
        <v>591</v>
      </c>
    </row>
    <row r="189" spans="1:9" x14ac:dyDescent="0.25">
      <c r="A189" t="str">
        <f>"90812493BF"</f>
        <v>90812493BF</v>
      </c>
      <c r="B189" t="s">
        <v>15</v>
      </c>
      <c r="C189" t="s">
        <v>592</v>
      </c>
      <c r="D189" t="s">
        <v>17</v>
      </c>
      <c r="E189" t="s">
        <v>593</v>
      </c>
      <c r="F189" t="s">
        <v>593</v>
      </c>
      <c r="G189" t="s">
        <v>594</v>
      </c>
      <c r="H189" t="s">
        <v>595</v>
      </c>
      <c r="I189" t="s">
        <v>14</v>
      </c>
    </row>
    <row r="190" spans="1:9" x14ac:dyDescent="0.25">
      <c r="A190" t="str">
        <f>"9355413B07"</f>
        <v>9355413B07</v>
      </c>
      <c r="B190" t="s">
        <v>9</v>
      </c>
      <c r="C190" t="s">
        <v>596</v>
      </c>
      <c r="D190" t="s">
        <v>11</v>
      </c>
      <c r="E190" t="s">
        <v>597</v>
      </c>
      <c r="F190" t="s">
        <v>597</v>
      </c>
      <c r="G190" t="s">
        <v>598</v>
      </c>
      <c r="H190" t="s">
        <v>575</v>
      </c>
      <c r="I190" t="s">
        <v>14</v>
      </c>
    </row>
    <row r="191" spans="1:9" x14ac:dyDescent="0.25">
      <c r="A191" t="str">
        <f>"9162271138"</f>
        <v>9162271138</v>
      </c>
      <c r="B191" t="s">
        <v>15</v>
      </c>
      <c r="C191" t="s">
        <v>599</v>
      </c>
      <c r="D191" t="s">
        <v>17</v>
      </c>
      <c r="E191" t="s">
        <v>600</v>
      </c>
      <c r="F191" t="s">
        <v>600</v>
      </c>
      <c r="G191" t="s">
        <v>601</v>
      </c>
      <c r="H191" t="s">
        <v>586</v>
      </c>
      <c r="I191" t="s">
        <v>602</v>
      </c>
    </row>
    <row r="192" spans="1:9" x14ac:dyDescent="0.25">
      <c r="A192" t="str">
        <f>"9415592850"</f>
        <v>9415592850</v>
      </c>
      <c r="B192" t="s">
        <v>9</v>
      </c>
      <c r="C192" t="s">
        <v>603</v>
      </c>
      <c r="D192" t="s">
        <v>11</v>
      </c>
      <c r="E192" t="s">
        <v>604</v>
      </c>
      <c r="F192" t="s">
        <v>604</v>
      </c>
      <c r="G192" t="s">
        <v>268</v>
      </c>
      <c r="H192" t="s">
        <v>575</v>
      </c>
      <c r="I192" t="s">
        <v>14</v>
      </c>
    </row>
    <row r="193" spans="1:9" x14ac:dyDescent="0.25">
      <c r="A193" t="str">
        <f>"9324294AD1"</f>
        <v>9324294AD1</v>
      </c>
      <c r="B193" t="s">
        <v>9</v>
      </c>
      <c r="C193" t="s">
        <v>605</v>
      </c>
      <c r="D193" t="s">
        <v>11</v>
      </c>
      <c r="E193" t="s">
        <v>606</v>
      </c>
      <c r="F193" t="s">
        <v>606</v>
      </c>
      <c r="G193" t="s">
        <v>607</v>
      </c>
      <c r="H193" t="s">
        <v>595</v>
      </c>
      <c r="I193" t="s">
        <v>608</v>
      </c>
    </row>
    <row r="194" spans="1:9" x14ac:dyDescent="0.25">
      <c r="A194" t="str">
        <f>"926214108D"</f>
        <v>926214108D</v>
      </c>
      <c r="B194" t="s">
        <v>15</v>
      </c>
      <c r="C194" t="s">
        <v>609</v>
      </c>
      <c r="D194" t="s">
        <v>11</v>
      </c>
      <c r="E194" t="s">
        <v>610</v>
      </c>
      <c r="F194" t="s">
        <v>63</v>
      </c>
      <c r="G194" t="s">
        <v>611</v>
      </c>
      <c r="H194" t="s">
        <v>612</v>
      </c>
      <c r="I194" t="s">
        <v>613</v>
      </c>
    </row>
    <row r="195" spans="1:9" x14ac:dyDescent="0.25">
      <c r="A195" t="str">
        <f>"92746367BE"</f>
        <v>92746367BE</v>
      </c>
      <c r="B195" t="s">
        <v>15</v>
      </c>
      <c r="C195" t="s">
        <v>614</v>
      </c>
      <c r="D195" t="s">
        <v>11</v>
      </c>
      <c r="E195" t="s">
        <v>615</v>
      </c>
      <c r="F195" t="s">
        <v>616</v>
      </c>
      <c r="G195" t="s">
        <v>617</v>
      </c>
      <c r="H195" t="s">
        <v>618</v>
      </c>
      <c r="I195" t="s">
        <v>619</v>
      </c>
    </row>
    <row r="196" spans="1:9" x14ac:dyDescent="0.25">
      <c r="A196" t="str">
        <f>"9292397895"</f>
        <v>9292397895</v>
      </c>
      <c r="B196" t="s">
        <v>15</v>
      </c>
      <c r="C196" t="s">
        <v>620</v>
      </c>
      <c r="D196" t="s">
        <v>11</v>
      </c>
      <c r="E196" t="s">
        <v>621</v>
      </c>
      <c r="F196" t="s">
        <v>177</v>
      </c>
      <c r="G196" t="s">
        <v>622</v>
      </c>
      <c r="H196" t="s">
        <v>623</v>
      </c>
      <c r="I196" t="s">
        <v>14</v>
      </c>
    </row>
    <row r="197" spans="1:9" x14ac:dyDescent="0.25">
      <c r="A197" t="str">
        <f>"92923490FB"</f>
        <v>92923490FB</v>
      </c>
      <c r="B197" t="s">
        <v>15</v>
      </c>
      <c r="C197" t="s">
        <v>624</v>
      </c>
      <c r="D197" t="s">
        <v>11</v>
      </c>
      <c r="E197" t="s">
        <v>625</v>
      </c>
      <c r="F197" t="s">
        <v>397</v>
      </c>
      <c r="G197" t="s">
        <v>626</v>
      </c>
      <c r="H197" t="s">
        <v>623</v>
      </c>
      <c r="I197" t="s">
        <v>627</v>
      </c>
    </row>
    <row r="198" spans="1:9" x14ac:dyDescent="0.25">
      <c r="A198" t="str">
        <f>"92706248EF"</f>
        <v>92706248EF</v>
      </c>
      <c r="B198" t="s">
        <v>15</v>
      </c>
      <c r="C198" t="s">
        <v>628</v>
      </c>
      <c r="D198" t="s">
        <v>11</v>
      </c>
      <c r="E198" t="s">
        <v>629</v>
      </c>
      <c r="F198" t="s">
        <v>174</v>
      </c>
      <c r="G198" t="s">
        <v>630</v>
      </c>
      <c r="H198" t="s">
        <v>623</v>
      </c>
      <c r="I198" t="s">
        <v>14</v>
      </c>
    </row>
    <row r="199" spans="1:9" x14ac:dyDescent="0.25">
      <c r="A199" t="str">
        <f>"92922997B6"</f>
        <v>92922997B6</v>
      </c>
      <c r="B199" t="s">
        <v>15</v>
      </c>
      <c r="C199" t="s">
        <v>631</v>
      </c>
      <c r="D199" t="s">
        <v>11</v>
      </c>
      <c r="E199" t="s">
        <v>632</v>
      </c>
      <c r="F199" t="s">
        <v>63</v>
      </c>
      <c r="G199" t="s">
        <v>633</v>
      </c>
      <c r="H199" t="s">
        <v>623</v>
      </c>
      <c r="I199" t="s">
        <v>634</v>
      </c>
    </row>
    <row r="200" spans="1:9" x14ac:dyDescent="0.25">
      <c r="A200" t="str">
        <f>"9236098D2C"</f>
        <v>9236098D2C</v>
      </c>
      <c r="B200" t="s">
        <v>15</v>
      </c>
      <c r="C200" t="s">
        <v>635</v>
      </c>
      <c r="D200" t="s">
        <v>26</v>
      </c>
      <c r="E200" t="s">
        <v>636</v>
      </c>
      <c r="F200" t="s">
        <v>122</v>
      </c>
      <c r="G200" t="s">
        <v>637</v>
      </c>
      <c r="H200" t="s">
        <v>638</v>
      </c>
      <c r="I200" t="s">
        <v>14</v>
      </c>
    </row>
    <row r="201" spans="1:9" x14ac:dyDescent="0.25">
      <c r="A201" t="str">
        <f>"915603571A"</f>
        <v>915603571A</v>
      </c>
      <c r="B201" t="s">
        <v>30</v>
      </c>
      <c r="C201" t="s">
        <v>639</v>
      </c>
      <c r="D201" t="s">
        <v>26</v>
      </c>
      <c r="E201" t="s">
        <v>640</v>
      </c>
      <c r="F201" t="s">
        <v>641</v>
      </c>
      <c r="G201" t="s">
        <v>642</v>
      </c>
      <c r="H201" t="s">
        <v>638</v>
      </c>
      <c r="I201" t="s">
        <v>14</v>
      </c>
    </row>
    <row r="202" spans="1:9" x14ac:dyDescent="0.25">
      <c r="A202" t="str">
        <f>"9210197EFD"</f>
        <v>9210197EFD</v>
      </c>
      <c r="B202" t="s">
        <v>15</v>
      </c>
      <c r="C202" t="s">
        <v>643</v>
      </c>
      <c r="D202" t="s">
        <v>11</v>
      </c>
      <c r="E202" t="s">
        <v>644</v>
      </c>
      <c r="F202" t="s">
        <v>644</v>
      </c>
      <c r="G202" t="s">
        <v>645</v>
      </c>
      <c r="H202" t="s">
        <v>646</v>
      </c>
      <c r="I202" t="s">
        <v>647</v>
      </c>
    </row>
    <row r="203" spans="1:9" x14ac:dyDescent="0.25">
      <c r="A203" t="str">
        <f>"8929261348"</f>
        <v>8929261348</v>
      </c>
      <c r="B203" t="s">
        <v>15</v>
      </c>
      <c r="C203" t="s">
        <v>648</v>
      </c>
      <c r="D203" t="s">
        <v>17</v>
      </c>
      <c r="E203" t="s">
        <v>649</v>
      </c>
      <c r="F203" t="s">
        <v>649</v>
      </c>
      <c r="G203" t="s">
        <v>650</v>
      </c>
      <c r="H203" t="s">
        <v>651</v>
      </c>
      <c r="I203" t="s">
        <v>652</v>
      </c>
    </row>
    <row r="204" spans="1:9" x14ac:dyDescent="0.25">
      <c r="A204" t="str">
        <f>"9172352053"</f>
        <v>9172352053</v>
      </c>
      <c r="B204" t="s">
        <v>24</v>
      </c>
      <c r="C204" t="s">
        <v>653</v>
      </c>
      <c r="D204" t="s">
        <v>17</v>
      </c>
      <c r="E204" t="s">
        <v>654</v>
      </c>
      <c r="F204" t="s">
        <v>654</v>
      </c>
      <c r="G204" t="s">
        <v>655</v>
      </c>
      <c r="H204" t="s">
        <v>656</v>
      </c>
      <c r="I204" t="s">
        <v>657</v>
      </c>
    </row>
    <row r="205" spans="1:9" x14ac:dyDescent="0.25">
      <c r="A205" t="str">
        <f>"92955198F0"</f>
        <v>92955198F0</v>
      </c>
      <c r="B205" t="s">
        <v>15</v>
      </c>
      <c r="C205" t="s">
        <v>658</v>
      </c>
      <c r="D205" t="s">
        <v>17</v>
      </c>
      <c r="E205" t="s">
        <v>504</v>
      </c>
      <c r="F205" t="s">
        <v>504</v>
      </c>
      <c r="G205" t="s">
        <v>659</v>
      </c>
      <c r="H205" t="s">
        <v>660</v>
      </c>
      <c r="I205" t="s">
        <v>661</v>
      </c>
    </row>
    <row r="206" spans="1:9" x14ac:dyDescent="0.25">
      <c r="A206" t="str">
        <f>"92456897EC"</f>
        <v>92456897EC</v>
      </c>
      <c r="B206" t="s">
        <v>9</v>
      </c>
      <c r="C206" t="s">
        <v>662</v>
      </c>
      <c r="D206" t="s">
        <v>11</v>
      </c>
      <c r="E206" t="s">
        <v>663</v>
      </c>
      <c r="F206" t="s">
        <v>664</v>
      </c>
      <c r="G206" t="s">
        <v>665</v>
      </c>
      <c r="H206" t="s">
        <v>666</v>
      </c>
      <c r="I206" t="s">
        <v>667</v>
      </c>
    </row>
    <row r="207" spans="1:9" x14ac:dyDescent="0.25">
      <c r="A207" t="str">
        <f>"9299574B3A"</f>
        <v>9299574B3A</v>
      </c>
      <c r="B207" t="s">
        <v>274</v>
      </c>
      <c r="C207" t="s">
        <v>668</v>
      </c>
      <c r="D207" t="s">
        <v>11</v>
      </c>
      <c r="E207" t="s">
        <v>669</v>
      </c>
      <c r="F207" t="s">
        <v>670</v>
      </c>
      <c r="G207" t="s">
        <v>671</v>
      </c>
      <c r="H207" t="s">
        <v>672</v>
      </c>
      <c r="I207" t="s">
        <v>14</v>
      </c>
    </row>
    <row r="208" spans="1:9" x14ac:dyDescent="0.25">
      <c r="A208" t="str">
        <f>"92954163F2"</f>
        <v>92954163F2</v>
      </c>
      <c r="B208" t="s">
        <v>15</v>
      </c>
      <c r="C208" t="s">
        <v>673</v>
      </c>
      <c r="D208" t="s">
        <v>17</v>
      </c>
      <c r="E208" t="s">
        <v>674</v>
      </c>
      <c r="F208" t="s">
        <v>674</v>
      </c>
      <c r="G208" t="s">
        <v>675</v>
      </c>
      <c r="H208" t="s">
        <v>676</v>
      </c>
      <c r="I208" t="s">
        <v>677</v>
      </c>
    </row>
    <row r="209" spans="1:9" x14ac:dyDescent="0.25">
      <c r="A209" t="str">
        <f>"9072583456"</f>
        <v>9072583456</v>
      </c>
      <c r="B209" t="s">
        <v>15</v>
      </c>
      <c r="C209" t="s">
        <v>678</v>
      </c>
      <c r="D209" t="s">
        <v>17</v>
      </c>
      <c r="E209" t="s">
        <v>122</v>
      </c>
      <c r="F209" t="s">
        <v>122</v>
      </c>
      <c r="G209" t="s">
        <v>679</v>
      </c>
      <c r="H209" t="s">
        <v>676</v>
      </c>
      <c r="I209" t="s">
        <v>680</v>
      </c>
    </row>
    <row r="210" spans="1:9" x14ac:dyDescent="0.25">
      <c r="A210" t="str">
        <f>"929524245B"</f>
        <v>929524245B</v>
      </c>
      <c r="B210" t="s">
        <v>15</v>
      </c>
      <c r="C210" t="s">
        <v>681</v>
      </c>
      <c r="D210" t="s">
        <v>17</v>
      </c>
      <c r="E210" t="s">
        <v>254</v>
      </c>
      <c r="F210" t="s">
        <v>254</v>
      </c>
      <c r="G210" t="s">
        <v>682</v>
      </c>
      <c r="H210" t="s">
        <v>683</v>
      </c>
      <c r="I210" t="s">
        <v>682</v>
      </c>
    </row>
    <row r="211" spans="1:9" x14ac:dyDescent="0.25">
      <c r="A211" t="str">
        <f>"929535519C"</f>
        <v>929535519C</v>
      </c>
      <c r="B211" t="s">
        <v>15</v>
      </c>
      <c r="C211" t="s">
        <v>684</v>
      </c>
      <c r="D211" t="s">
        <v>17</v>
      </c>
      <c r="E211" t="s">
        <v>685</v>
      </c>
      <c r="F211" t="s">
        <v>685</v>
      </c>
      <c r="G211" t="s">
        <v>686</v>
      </c>
      <c r="H211" t="s">
        <v>687</v>
      </c>
      <c r="I211" t="s">
        <v>14</v>
      </c>
    </row>
    <row r="212" spans="1:9" x14ac:dyDescent="0.25">
      <c r="A212" t="str">
        <f>"929528797C"</f>
        <v>929528797C</v>
      </c>
      <c r="B212" t="s">
        <v>15</v>
      </c>
      <c r="C212" t="s">
        <v>688</v>
      </c>
      <c r="D212" t="s">
        <v>17</v>
      </c>
      <c r="E212" t="s">
        <v>689</v>
      </c>
      <c r="F212" t="s">
        <v>689</v>
      </c>
      <c r="G212" t="s">
        <v>690</v>
      </c>
      <c r="H212" t="s">
        <v>691</v>
      </c>
      <c r="I212" t="s">
        <v>692</v>
      </c>
    </row>
    <row r="213" spans="1:9" x14ac:dyDescent="0.25">
      <c r="A213" t="str">
        <f>"9295154BBA"</f>
        <v>9295154BBA</v>
      </c>
      <c r="B213" t="s">
        <v>15</v>
      </c>
      <c r="C213" t="s">
        <v>693</v>
      </c>
      <c r="D213" t="s">
        <v>17</v>
      </c>
      <c r="E213" t="s">
        <v>88</v>
      </c>
      <c r="F213" t="s">
        <v>88</v>
      </c>
      <c r="G213" t="s">
        <v>694</v>
      </c>
      <c r="H213" t="s">
        <v>695</v>
      </c>
      <c r="I213" t="s">
        <v>694</v>
      </c>
    </row>
    <row r="214" spans="1:9" x14ac:dyDescent="0.25">
      <c r="A214" t="str">
        <f>"89160171FD"</f>
        <v>89160171FD</v>
      </c>
      <c r="B214" t="s">
        <v>15</v>
      </c>
      <c r="C214" t="s">
        <v>696</v>
      </c>
      <c r="D214" t="s">
        <v>26</v>
      </c>
      <c r="E214" t="s">
        <v>697</v>
      </c>
      <c r="F214" t="s">
        <v>122</v>
      </c>
      <c r="G214" t="s">
        <v>698</v>
      </c>
      <c r="H214" t="s">
        <v>699</v>
      </c>
      <c r="I214" t="s">
        <v>700</v>
      </c>
    </row>
    <row r="215" spans="1:9" x14ac:dyDescent="0.25">
      <c r="A215" t="str">
        <f>"9140336BDF"</f>
        <v>9140336BDF</v>
      </c>
      <c r="B215" t="s">
        <v>9</v>
      </c>
      <c r="C215" t="s">
        <v>701</v>
      </c>
      <c r="D215" t="s">
        <v>11</v>
      </c>
      <c r="E215" t="s">
        <v>305</v>
      </c>
      <c r="F215" t="s">
        <v>305</v>
      </c>
      <c r="G215" t="s">
        <v>702</v>
      </c>
      <c r="H215" t="s">
        <v>703</v>
      </c>
      <c r="I215" t="s">
        <v>704</v>
      </c>
    </row>
    <row r="216" spans="1:9" x14ac:dyDescent="0.25">
      <c r="A216" t="str">
        <f>"9295015906"</f>
        <v>9295015906</v>
      </c>
      <c r="B216" t="s">
        <v>15</v>
      </c>
      <c r="C216" t="s">
        <v>705</v>
      </c>
      <c r="D216" t="s">
        <v>17</v>
      </c>
      <c r="E216" t="s">
        <v>706</v>
      </c>
      <c r="F216" t="s">
        <v>706</v>
      </c>
      <c r="G216" t="s">
        <v>707</v>
      </c>
      <c r="H216" t="s">
        <v>703</v>
      </c>
      <c r="I216" t="s">
        <v>707</v>
      </c>
    </row>
    <row r="217" spans="1:9" x14ac:dyDescent="0.25">
      <c r="A217" t="str">
        <f>"93058820C4"</f>
        <v>93058820C4</v>
      </c>
      <c r="B217" t="s">
        <v>15</v>
      </c>
      <c r="C217" t="s">
        <v>708</v>
      </c>
      <c r="D217" t="s">
        <v>17</v>
      </c>
      <c r="E217" t="s">
        <v>305</v>
      </c>
      <c r="F217" t="s">
        <v>305</v>
      </c>
      <c r="G217" t="s">
        <v>709</v>
      </c>
      <c r="H217" t="s">
        <v>703</v>
      </c>
      <c r="I217" t="s">
        <v>709</v>
      </c>
    </row>
    <row r="218" spans="1:9" x14ac:dyDescent="0.25">
      <c r="A218" t="str">
        <f>"9271244893"</f>
        <v>9271244893</v>
      </c>
      <c r="B218" t="s">
        <v>15</v>
      </c>
      <c r="C218" t="s">
        <v>710</v>
      </c>
      <c r="D218" t="s">
        <v>11</v>
      </c>
      <c r="E218" t="s">
        <v>711</v>
      </c>
      <c r="F218" t="s">
        <v>63</v>
      </c>
      <c r="G218" t="s">
        <v>712</v>
      </c>
      <c r="H218" t="s">
        <v>713</v>
      </c>
      <c r="I218" t="s">
        <v>714</v>
      </c>
    </row>
    <row r="219" spans="1:9" x14ac:dyDescent="0.25">
      <c r="A219" t="str">
        <f>"9298683BF3"</f>
        <v>9298683BF3</v>
      </c>
      <c r="B219" t="s">
        <v>15</v>
      </c>
      <c r="C219" t="s">
        <v>715</v>
      </c>
      <c r="D219" t="s">
        <v>11</v>
      </c>
      <c r="E219" t="s">
        <v>716</v>
      </c>
      <c r="F219" t="s">
        <v>716</v>
      </c>
      <c r="G219" t="s">
        <v>717</v>
      </c>
      <c r="H219" t="s">
        <v>718</v>
      </c>
      <c r="I219" t="s">
        <v>719</v>
      </c>
    </row>
    <row r="220" spans="1:9" x14ac:dyDescent="0.25">
      <c r="A220" t="str">
        <f>"9245886A7D"</f>
        <v>9245886A7D</v>
      </c>
      <c r="B220" t="s">
        <v>15</v>
      </c>
      <c r="C220" t="s">
        <v>720</v>
      </c>
      <c r="D220" t="s">
        <v>11</v>
      </c>
      <c r="E220" t="s">
        <v>721</v>
      </c>
      <c r="F220" t="s">
        <v>721</v>
      </c>
      <c r="G220" t="s">
        <v>722</v>
      </c>
      <c r="H220" t="s">
        <v>723</v>
      </c>
      <c r="I220" t="s">
        <v>14</v>
      </c>
    </row>
    <row r="221" spans="1:9" x14ac:dyDescent="0.25">
      <c r="A221" t="str">
        <f>"9257096D45"</f>
        <v>9257096D45</v>
      </c>
      <c r="B221" t="s">
        <v>15</v>
      </c>
      <c r="C221" t="s">
        <v>724</v>
      </c>
      <c r="D221" t="s">
        <v>17</v>
      </c>
      <c r="E221" t="s">
        <v>725</v>
      </c>
      <c r="F221" t="s">
        <v>725</v>
      </c>
      <c r="G221" t="s">
        <v>726</v>
      </c>
      <c r="H221" t="s">
        <v>727</v>
      </c>
      <c r="I221" t="s">
        <v>728</v>
      </c>
    </row>
    <row r="222" spans="1:9" x14ac:dyDescent="0.25">
      <c r="A222" t="str">
        <f>"9270227154"</f>
        <v>9270227154</v>
      </c>
      <c r="B222" t="s">
        <v>15</v>
      </c>
      <c r="C222" t="s">
        <v>729</v>
      </c>
      <c r="D222" t="s">
        <v>11</v>
      </c>
      <c r="E222" t="s">
        <v>730</v>
      </c>
      <c r="F222" t="s">
        <v>445</v>
      </c>
      <c r="G222" t="s">
        <v>731</v>
      </c>
      <c r="H222" t="s">
        <v>727</v>
      </c>
      <c r="I222" t="s">
        <v>732</v>
      </c>
    </row>
    <row r="223" spans="1:9" x14ac:dyDescent="0.25">
      <c r="A223" t="str">
        <f>"9236215DB9"</f>
        <v>9236215DB9</v>
      </c>
      <c r="B223" t="s">
        <v>15</v>
      </c>
      <c r="C223" t="s">
        <v>733</v>
      </c>
      <c r="D223" t="s">
        <v>11</v>
      </c>
      <c r="E223" t="s">
        <v>734</v>
      </c>
      <c r="F223" t="s">
        <v>63</v>
      </c>
      <c r="G223" t="s">
        <v>735</v>
      </c>
      <c r="H223" t="s">
        <v>736</v>
      </c>
      <c r="I223" t="s">
        <v>737</v>
      </c>
    </row>
    <row r="224" spans="1:9" x14ac:dyDescent="0.25">
      <c r="A224" t="str">
        <f>"920898245A"</f>
        <v>920898245A</v>
      </c>
      <c r="B224" t="s">
        <v>274</v>
      </c>
      <c r="C224" t="s">
        <v>738</v>
      </c>
      <c r="D224" t="s">
        <v>26</v>
      </c>
      <c r="E224" t="s">
        <v>739</v>
      </c>
      <c r="F224" t="s">
        <v>277</v>
      </c>
      <c r="G224" t="s">
        <v>740</v>
      </c>
      <c r="H224" t="s">
        <v>741</v>
      </c>
      <c r="I224" t="s">
        <v>742</v>
      </c>
    </row>
    <row r="225" spans="1:9" x14ac:dyDescent="0.25">
      <c r="A225" t="str">
        <f>"9114814675"</f>
        <v>9114814675</v>
      </c>
      <c r="B225" t="s">
        <v>274</v>
      </c>
      <c r="C225" t="s">
        <v>743</v>
      </c>
      <c r="D225" t="s">
        <v>26</v>
      </c>
      <c r="E225" t="s">
        <v>744</v>
      </c>
      <c r="F225" t="s">
        <v>745</v>
      </c>
      <c r="G225" t="s">
        <v>746</v>
      </c>
      <c r="H225" t="s">
        <v>747</v>
      </c>
      <c r="I225" t="s">
        <v>748</v>
      </c>
    </row>
    <row r="226" spans="1:9" x14ac:dyDescent="0.25">
      <c r="A226" t="str">
        <f>"914017897D"</f>
        <v>914017897D</v>
      </c>
      <c r="B226" t="s">
        <v>9</v>
      </c>
      <c r="C226" t="s">
        <v>749</v>
      </c>
      <c r="D226" t="s">
        <v>11</v>
      </c>
      <c r="E226" t="s">
        <v>462</v>
      </c>
      <c r="F226" t="s">
        <v>462</v>
      </c>
      <c r="G226" t="s">
        <v>750</v>
      </c>
      <c r="H226" t="s">
        <v>751</v>
      </c>
      <c r="I226" t="s">
        <v>752</v>
      </c>
    </row>
    <row r="227" spans="1:9" x14ac:dyDescent="0.25">
      <c r="A227" t="str">
        <f>"9121902FA6"</f>
        <v>9121902FA6</v>
      </c>
      <c r="B227" t="s">
        <v>274</v>
      </c>
      <c r="C227" t="s">
        <v>753</v>
      </c>
      <c r="D227" t="s">
        <v>11</v>
      </c>
      <c r="E227" t="s">
        <v>754</v>
      </c>
      <c r="F227" t="s">
        <v>755</v>
      </c>
      <c r="G227" t="s">
        <v>756</v>
      </c>
      <c r="H227" t="s">
        <v>757</v>
      </c>
      <c r="I227" t="s">
        <v>14</v>
      </c>
    </row>
    <row r="228" spans="1:9" x14ac:dyDescent="0.25">
      <c r="A228" t="str">
        <f>"9140283026"</f>
        <v>9140283026</v>
      </c>
      <c r="B228" t="s">
        <v>9</v>
      </c>
      <c r="C228" t="s">
        <v>758</v>
      </c>
      <c r="D228" t="s">
        <v>11</v>
      </c>
      <c r="E228" t="s">
        <v>759</v>
      </c>
      <c r="F228" t="s">
        <v>759</v>
      </c>
      <c r="G228" t="s">
        <v>760</v>
      </c>
      <c r="H228" t="s">
        <v>761</v>
      </c>
      <c r="I228" t="s">
        <v>14</v>
      </c>
    </row>
    <row r="229" spans="1:9" x14ac:dyDescent="0.25">
      <c r="A229" t="str">
        <f>"9140272710"</f>
        <v>9140272710</v>
      </c>
      <c r="B229" t="s">
        <v>9</v>
      </c>
      <c r="C229" t="s">
        <v>762</v>
      </c>
      <c r="D229" t="s">
        <v>11</v>
      </c>
      <c r="E229" t="s">
        <v>763</v>
      </c>
      <c r="F229" t="s">
        <v>763</v>
      </c>
      <c r="G229" t="s">
        <v>764</v>
      </c>
      <c r="H229" t="s">
        <v>761</v>
      </c>
      <c r="I229" t="s">
        <v>764</v>
      </c>
    </row>
    <row r="230" spans="1:9" x14ac:dyDescent="0.25">
      <c r="A230" t="str">
        <f>"9140237A2D"</f>
        <v>9140237A2D</v>
      </c>
      <c r="B230" t="s">
        <v>9</v>
      </c>
      <c r="C230" t="s">
        <v>765</v>
      </c>
      <c r="D230" t="s">
        <v>11</v>
      </c>
      <c r="E230" t="s">
        <v>766</v>
      </c>
      <c r="F230" t="s">
        <v>766</v>
      </c>
      <c r="G230" t="s">
        <v>767</v>
      </c>
      <c r="H230" t="s">
        <v>761</v>
      </c>
      <c r="I230" t="s">
        <v>768</v>
      </c>
    </row>
    <row r="231" spans="1:9" x14ac:dyDescent="0.25">
      <c r="A231" t="str">
        <f>"9122088926"</f>
        <v>9122088926</v>
      </c>
      <c r="B231" t="s">
        <v>274</v>
      </c>
      <c r="C231" t="s">
        <v>769</v>
      </c>
      <c r="D231" t="s">
        <v>11</v>
      </c>
      <c r="E231" t="s">
        <v>770</v>
      </c>
      <c r="F231" t="s">
        <v>755</v>
      </c>
      <c r="G231" t="s">
        <v>771</v>
      </c>
      <c r="H231" t="s">
        <v>772</v>
      </c>
      <c r="I231" t="s">
        <v>14</v>
      </c>
    </row>
    <row r="232" spans="1:9" x14ac:dyDescent="0.25">
      <c r="A232" t="str">
        <f>"912210030F"</f>
        <v>912210030F</v>
      </c>
      <c r="B232" t="s">
        <v>274</v>
      </c>
      <c r="C232" t="s">
        <v>773</v>
      </c>
      <c r="D232" t="s">
        <v>11</v>
      </c>
      <c r="E232" t="s">
        <v>754</v>
      </c>
      <c r="F232" t="s">
        <v>755</v>
      </c>
      <c r="G232" t="s">
        <v>771</v>
      </c>
      <c r="H232" t="s">
        <v>772</v>
      </c>
      <c r="I232" t="s">
        <v>14</v>
      </c>
    </row>
    <row r="233" spans="1:9" x14ac:dyDescent="0.25">
      <c r="A233" t="str">
        <f>"912206020D"</f>
        <v>912206020D</v>
      </c>
      <c r="B233" t="s">
        <v>274</v>
      </c>
      <c r="C233" t="s">
        <v>774</v>
      </c>
      <c r="D233" t="s">
        <v>11</v>
      </c>
      <c r="E233" t="s">
        <v>770</v>
      </c>
      <c r="F233" t="s">
        <v>755</v>
      </c>
      <c r="G233" t="s">
        <v>771</v>
      </c>
      <c r="H233" t="s">
        <v>772</v>
      </c>
      <c r="I233" t="s">
        <v>14</v>
      </c>
    </row>
    <row r="234" spans="1:9" x14ac:dyDescent="0.25">
      <c r="A234" t="str">
        <f>"9122071B1E"</f>
        <v>9122071B1E</v>
      </c>
      <c r="B234" t="s">
        <v>274</v>
      </c>
      <c r="C234" t="s">
        <v>775</v>
      </c>
      <c r="D234" t="s">
        <v>11</v>
      </c>
      <c r="E234" t="s">
        <v>770</v>
      </c>
      <c r="F234" t="s">
        <v>755</v>
      </c>
      <c r="G234" t="s">
        <v>771</v>
      </c>
      <c r="H234" t="s">
        <v>772</v>
      </c>
      <c r="I234" t="s">
        <v>14</v>
      </c>
    </row>
    <row r="235" spans="1:9" x14ac:dyDescent="0.25">
      <c r="A235" t="str">
        <f>"9121911716"</f>
        <v>9121911716</v>
      </c>
      <c r="B235" t="s">
        <v>274</v>
      </c>
      <c r="C235" t="s">
        <v>776</v>
      </c>
      <c r="D235" t="s">
        <v>11</v>
      </c>
      <c r="E235" t="s">
        <v>754</v>
      </c>
      <c r="F235" t="s">
        <v>755</v>
      </c>
      <c r="G235" t="s">
        <v>771</v>
      </c>
      <c r="H235" t="s">
        <v>772</v>
      </c>
      <c r="I235" t="s">
        <v>14</v>
      </c>
    </row>
    <row r="236" spans="1:9" x14ac:dyDescent="0.25">
      <c r="A236" t="str">
        <f>"9122063486"</f>
        <v>9122063486</v>
      </c>
      <c r="B236" t="s">
        <v>274</v>
      </c>
      <c r="C236" t="s">
        <v>777</v>
      </c>
      <c r="D236" t="s">
        <v>11</v>
      </c>
      <c r="E236" t="s">
        <v>778</v>
      </c>
      <c r="F236" t="s">
        <v>755</v>
      </c>
      <c r="G236" t="s">
        <v>779</v>
      </c>
      <c r="H236" t="s">
        <v>772</v>
      </c>
      <c r="I236" t="s">
        <v>14</v>
      </c>
    </row>
    <row r="237" spans="1:9" x14ac:dyDescent="0.25">
      <c r="A237" t="str">
        <f>"9211355A9B"</f>
        <v>9211355A9B</v>
      </c>
      <c r="B237" t="s">
        <v>9</v>
      </c>
      <c r="C237" t="s">
        <v>780</v>
      </c>
      <c r="D237" t="s">
        <v>11</v>
      </c>
      <c r="H237" t="s">
        <v>781</v>
      </c>
      <c r="I237" t="s">
        <v>782</v>
      </c>
    </row>
    <row r="238" spans="1:9" x14ac:dyDescent="0.25">
      <c r="A238" t="str">
        <f>"9170377280"</f>
        <v>9170377280</v>
      </c>
      <c r="B238" t="s">
        <v>15</v>
      </c>
      <c r="C238" t="s">
        <v>783</v>
      </c>
      <c r="D238" t="s">
        <v>11</v>
      </c>
      <c r="E238" t="s">
        <v>784</v>
      </c>
      <c r="F238" t="s">
        <v>785</v>
      </c>
      <c r="G238" t="s">
        <v>786</v>
      </c>
      <c r="H238" t="s">
        <v>787</v>
      </c>
      <c r="I238" t="s">
        <v>788</v>
      </c>
    </row>
    <row r="239" spans="1:9" x14ac:dyDescent="0.25">
      <c r="A239" t="str">
        <f>"9002424B4A"</f>
        <v>9002424B4A</v>
      </c>
      <c r="B239" t="s">
        <v>15</v>
      </c>
      <c r="C239" t="s">
        <v>789</v>
      </c>
      <c r="D239" t="s">
        <v>11</v>
      </c>
      <c r="E239" t="s">
        <v>790</v>
      </c>
      <c r="F239" t="s">
        <v>791</v>
      </c>
      <c r="G239" t="s">
        <v>792</v>
      </c>
      <c r="H239" t="s">
        <v>793</v>
      </c>
      <c r="I239" t="s">
        <v>794</v>
      </c>
    </row>
    <row r="240" spans="1:9" x14ac:dyDescent="0.25">
      <c r="A240" t="str">
        <f>"9185288372"</f>
        <v>9185288372</v>
      </c>
      <c r="B240" t="s">
        <v>15</v>
      </c>
      <c r="C240" t="s">
        <v>795</v>
      </c>
      <c r="D240" t="s">
        <v>17</v>
      </c>
      <c r="E240" t="s">
        <v>674</v>
      </c>
      <c r="F240" t="s">
        <v>674</v>
      </c>
      <c r="G240" t="s">
        <v>796</v>
      </c>
      <c r="H240" t="s">
        <v>797</v>
      </c>
      <c r="I240" t="s">
        <v>798</v>
      </c>
    </row>
    <row r="241" spans="1:9" x14ac:dyDescent="0.25">
      <c r="A241" t="str">
        <f>"9004977619"</f>
        <v>9004977619</v>
      </c>
      <c r="B241" t="s">
        <v>15</v>
      </c>
      <c r="C241" t="s">
        <v>799</v>
      </c>
      <c r="D241" t="s">
        <v>26</v>
      </c>
      <c r="E241" t="s">
        <v>800</v>
      </c>
      <c r="F241" t="s">
        <v>138</v>
      </c>
      <c r="G241" t="s">
        <v>801</v>
      </c>
      <c r="H241" t="s">
        <v>802</v>
      </c>
      <c r="I241" t="s">
        <v>803</v>
      </c>
    </row>
    <row r="242" spans="1:9" x14ac:dyDescent="0.25">
      <c r="A242" t="str">
        <f>"898682743F"</f>
        <v>898682743F</v>
      </c>
      <c r="B242" t="s">
        <v>15</v>
      </c>
      <c r="C242" t="s">
        <v>804</v>
      </c>
      <c r="D242" t="s">
        <v>11</v>
      </c>
      <c r="E242" t="s">
        <v>805</v>
      </c>
      <c r="F242" t="s">
        <v>63</v>
      </c>
      <c r="G242" t="s">
        <v>806</v>
      </c>
      <c r="H242" t="s">
        <v>807</v>
      </c>
      <c r="I242" t="s">
        <v>808</v>
      </c>
    </row>
    <row r="243" spans="1:9" x14ac:dyDescent="0.25">
      <c r="A243" t="str">
        <f>"914457994F"</f>
        <v>914457994F</v>
      </c>
      <c r="B243" t="s">
        <v>9</v>
      </c>
      <c r="C243" t="s">
        <v>809</v>
      </c>
      <c r="D243" t="s">
        <v>11</v>
      </c>
      <c r="E243" t="s">
        <v>810</v>
      </c>
      <c r="F243" t="s">
        <v>810</v>
      </c>
      <c r="G243" t="s">
        <v>811</v>
      </c>
      <c r="H243" t="s">
        <v>812</v>
      </c>
      <c r="I243" t="s">
        <v>14</v>
      </c>
    </row>
    <row r="244" spans="1:9" x14ac:dyDescent="0.25">
      <c r="A244" t="str">
        <f>"91402179AC"</f>
        <v>91402179AC</v>
      </c>
      <c r="B244" t="s">
        <v>9</v>
      </c>
      <c r="C244" t="s">
        <v>813</v>
      </c>
      <c r="D244" t="s">
        <v>11</v>
      </c>
      <c r="E244" t="s">
        <v>814</v>
      </c>
      <c r="F244" t="s">
        <v>814</v>
      </c>
      <c r="G244" t="s">
        <v>815</v>
      </c>
      <c r="H244" t="s">
        <v>812</v>
      </c>
      <c r="I244" t="s">
        <v>816</v>
      </c>
    </row>
    <row r="245" spans="1:9" x14ac:dyDescent="0.25">
      <c r="A245" t="str">
        <f>"9156510F13"</f>
        <v>9156510F13</v>
      </c>
      <c r="B245" t="s">
        <v>9</v>
      </c>
      <c r="C245" t="s">
        <v>817</v>
      </c>
      <c r="D245" t="s">
        <v>11</v>
      </c>
      <c r="E245" t="s">
        <v>209</v>
      </c>
      <c r="F245" t="s">
        <v>209</v>
      </c>
      <c r="G245" t="s">
        <v>818</v>
      </c>
      <c r="H245" t="s">
        <v>812</v>
      </c>
      <c r="I245" t="s">
        <v>818</v>
      </c>
    </row>
    <row r="246" spans="1:9" x14ac:dyDescent="0.25">
      <c r="A246" t="str">
        <f>"91404043FF"</f>
        <v>91404043FF</v>
      </c>
      <c r="B246" t="s">
        <v>9</v>
      </c>
      <c r="C246" t="s">
        <v>819</v>
      </c>
      <c r="D246" t="s">
        <v>11</v>
      </c>
      <c r="E246" t="s">
        <v>820</v>
      </c>
      <c r="F246" t="s">
        <v>820</v>
      </c>
      <c r="G246" t="s">
        <v>821</v>
      </c>
      <c r="H246" t="s">
        <v>812</v>
      </c>
      <c r="I246" t="s">
        <v>14</v>
      </c>
    </row>
    <row r="247" spans="1:9" x14ac:dyDescent="0.25">
      <c r="A247" t="str">
        <f>"915673371C"</f>
        <v>915673371C</v>
      </c>
      <c r="B247" t="s">
        <v>9</v>
      </c>
      <c r="C247" t="s">
        <v>822</v>
      </c>
      <c r="D247" t="s">
        <v>11</v>
      </c>
      <c r="E247" t="s">
        <v>343</v>
      </c>
      <c r="F247" t="s">
        <v>343</v>
      </c>
      <c r="G247" t="s">
        <v>823</v>
      </c>
      <c r="H247" t="s">
        <v>812</v>
      </c>
      <c r="I247" t="s">
        <v>823</v>
      </c>
    </row>
    <row r="248" spans="1:9" x14ac:dyDescent="0.25">
      <c r="A248" t="str">
        <f>"914044342E"</f>
        <v>914044342E</v>
      </c>
      <c r="B248" t="s">
        <v>9</v>
      </c>
      <c r="C248" t="s">
        <v>824</v>
      </c>
      <c r="D248" t="s">
        <v>11</v>
      </c>
      <c r="E248" t="s">
        <v>130</v>
      </c>
      <c r="F248" t="s">
        <v>130</v>
      </c>
      <c r="G248" t="s">
        <v>825</v>
      </c>
      <c r="H248" t="s">
        <v>812</v>
      </c>
      <c r="I248" t="s">
        <v>825</v>
      </c>
    </row>
    <row r="249" spans="1:9" x14ac:dyDescent="0.25">
      <c r="A249" t="str">
        <f>"9140394BBC"</f>
        <v>9140394BBC</v>
      </c>
      <c r="B249" t="s">
        <v>9</v>
      </c>
      <c r="C249" t="s">
        <v>826</v>
      </c>
      <c r="D249" t="s">
        <v>11</v>
      </c>
      <c r="E249" t="s">
        <v>664</v>
      </c>
      <c r="F249" t="s">
        <v>664</v>
      </c>
      <c r="G249" t="s">
        <v>827</v>
      </c>
      <c r="H249" t="s">
        <v>812</v>
      </c>
      <c r="I249" t="s">
        <v>827</v>
      </c>
    </row>
    <row r="250" spans="1:9" x14ac:dyDescent="0.25">
      <c r="A250" t="str">
        <f>"8836066854"</f>
        <v>8836066854</v>
      </c>
      <c r="B250" t="s">
        <v>15</v>
      </c>
      <c r="C250" t="s">
        <v>828</v>
      </c>
      <c r="D250" t="s">
        <v>17</v>
      </c>
      <c r="E250" t="s">
        <v>37</v>
      </c>
      <c r="F250" t="s">
        <v>37</v>
      </c>
      <c r="G250" t="s">
        <v>829</v>
      </c>
      <c r="H250" t="s">
        <v>830</v>
      </c>
      <c r="I250" t="s">
        <v>831</v>
      </c>
    </row>
    <row r="251" spans="1:9" x14ac:dyDescent="0.25">
      <c r="A251" t="str">
        <f>"914135117D"</f>
        <v>914135117D</v>
      </c>
      <c r="B251" t="s">
        <v>30</v>
      </c>
      <c r="C251" t="s">
        <v>832</v>
      </c>
      <c r="D251" t="s">
        <v>11</v>
      </c>
      <c r="E251" t="s">
        <v>833</v>
      </c>
      <c r="F251" t="s">
        <v>833</v>
      </c>
      <c r="G251" t="s">
        <v>834</v>
      </c>
      <c r="H251" t="s">
        <v>830</v>
      </c>
      <c r="I251" t="s">
        <v>835</v>
      </c>
    </row>
    <row r="252" spans="1:9" x14ac:dyDescent="0.25">
      <c r="A252" t="str">
        <f>"9141387F2E"</f>
        <v>9141387F2E</v>
      </c>
      <c r="B252" t="s">
        <v>30</v>
      </c>
      <c r="C252" t="s">
        <v>836</v>
      </c>
      <c r="D252" t="s">
        <v>11</v>
      </c>
      <c r="E252" t="s">
        <v>837</v>
      </c>
      <c r="F252" t="s">
        <v>837</v>
      </c>
      <c r="G252" t="s">
        <v>834</v>
      </c>
      <c r="H252" t="s">
        <v>830</v>
      </c>
      <c r="I252" t="s">
        <v>838</v>
      </c>
    </row>
    <row r="253" spans="1:9" x14ac:dyDescent="0.25">
      <c r="A253" t="str">
        <f>"8944316B0D"</f>
        <v>8944316B0D</v>
      </c>
      <c r="B253" t="s">
        <v>15</v>
      </c>
      <c r="C253" t="s">
        <v>839</v>
      </c>
      <c r="D253" t="s">
        <v>26</v>
      </c>
      <c r="E253" t="s">
        <v>840</v>
      </c>
      <c r="F253" t="s">
        <v>841</v>
      </c>
      <c r="G253" t="s">
        <v>842</v>
      </c>
      <c r="H253" t="s">
        <v>843</v>
      </c>
      <c r="I253" t="s">
        <v>844</v>
      </c>
    </row>
    <row r="254" spans="1:9" x14ac:dyDescent="0.25">
      <c r="A254" t="str">
        <f>"904648860F"</f>
        <v>904648860F</v>
      </c>
      <c r="B254" t="s">
        <v>9</v>
      </c>
      <c r="C254" t="s">
        <v>845</v>
      </c>
      <c r="D254" t="s">
        <v>11</v>
      </c>
      <c r="E254" t="s">
        <v>846</v>
      </c>
      <c r="F254" t="s">
        <v>343</v>
      </c>
      <c r="G254" t="s">
        <v>847</v>
      </c>
      <c r="H254" t="s">
        <v>848</v>
      </c>
      <c r="I254" t="s">
        <v>847</v>
      </c>
    </row>
    <row r="255" spans="1:9" x14ac:dyDescent="0.25">
      <c r="A255" t="str">
        <f>"9046495BD4"</f>
        <v>9046495BD4</v>
      </c>
      <c r="B255" t="s">
        <v>9</v>
      </c>
      <c r="C255" t="s">
        <v>849</v>
      </c>
      <c r="D255" t="s">
        <v>11</v>
      </c>
      <c r="E255" t="s">
        <v>850</v>
      </c>
      <c r="F255" t="s">
        <v>850</v>
      </c>
      <c r="G255" t="s">
        <v>851</v>
      </c>
      <c r="H255" t="s">
        <v>848</v>
      </c>
      <c r="I255" t="s">
        <v>851</v>
      </c>
    </row>
    <row r="256" spans="1:9" x14ac:dyDescent="0.25">
      <c r="A256" t="str">
        <f>"88358852F8"</f>
        <v>88358852F8</v>
      </c>
      <c r="B256" t="s">
        <v>15</v>
      </c>
      <c r="C256" t="s">
        <v>852</v>
      </c>
      <c r="D256" t="s">
        <v>17</v>
      </c>
      <c r="E256" t="s">
        <v>51</v>
      </c>
      <c r="F256" t="s">
        <v>52</v>
      </c>
      <c r="G256" t="s">
        <v>853</v>
      </c>
      <c r="H256" t="s">
        <v>854</v>
      </c>
      <c r="I256" t="s">
        <v>855</v>
      </c>
    </row>
    <row r="257" spans="1:9" x14ac:dyDescent="0.25">
      <c r="A257" t="str">
        <f>"9071988952"</f>
        <v>9071988952</v>
      </c>
      <c r="B257" t="s">
        <v>24</v>
      </c>
      <c r="C257" t="s">
        <v>856</v>
      </c>
      <c r="D257" t="s">
        <v>17</v>
      </c>
      <c r="E257" t="s">
        <v>218</v>
      </c>
      <c r="F257" t="s">
        <v>218</v>
      </c>
      <c r="G257" t="s">
        <v>857</v>
      </c>
      <c r="H257" t="s">
        <v>858</v>
      </c>
      <c r="I257" t="s">
        <v>859</v>
      </c>
    </row>
    <row r="258" spans="1:9" x14ac:dyDescent="0.25">
      <c r="A258" t="str">
        <f>"898822129D"</f>
        <v>898822129D</v>
      </c>
      <c r="B258" t="s">
        <v>15</v>
      </c>
      <c r="C258" t="s">
        <v>860</v>
      </c>
      <c r="D258" t="s">
        <v>11</v>
      </c>
      <c r="E258" t="s">
        <v>861</v>
      </c>
      <c r="F258" t="s">
        <v>862</v>
      </c>
      <c r="G258" t="s">
        <v>863</v>
      </c>
      <c r="H258" t="s">
        <v>864</v>
      </c>
      <c r="I258" t="s">
        <v>865</v>
      </c>
    </row>
    <row r="259" spans="1:9" x14ac:dyDescent="0.25">
      <c r="A259" t="str">
        <f>"90811924B5"</f>
        <v>90811924B5</v>
      </c>
      <c r="B259" t="s">
        <v>15</v>
      </c>
      <c r="C259" t="s">
        <v>866</v>
      </c>
      <c r="D259" t="s">
        <v>17</v>
      </c>
      <c r="E259" t="s">
        <v>867</v>
      </c>
      <c r="F259" t="s">
        <v>122</v>
      </c>
      <c r="G259" t="s">
        <v>868</v>
      </c>
      <c r="H259" t="s">
        <v>869</v>
      </c>
      <c r="I259" t="s">
        <v>870</v>
      </c>
    </row>
    <row r="260" spans="1:9" x14ac:dyDescent="0.25">
      <c r="A260" t="str">
        <f>"9053082799"</f>
        <v>9053082799</v>
      </c>
      <c r="B260" t="s">
        <v>9</v>
      </c>
      <c r="C260" t="s">
        <v>871</v>
      </c>
      <c r="D260" t="s">
        <v>11</v>
      </c>
      <c r="E260" t="s">
        <v>385</v>
      </c>
      <c r="F260" t="s">
        <v>385</v>
      </c>
      <c r="G260" t="s">
        <v>872</v>
      </c>
      <c r="H260" t="s">
        <v>873</v>
      </c>
      <c r="I260" t="s">
        <v>271</v>
      </c>
    </row>
    <row r="261" spans="1:9" x14ac:dyDescent="0.25">
      <c r="A261" t="str">
        <f>"9074860B5E"</f>
        <v>9074860B5E</v>
      </c>
      <c r="B261" t="s">
        <v>15</v>
      </c>
      <c r="C261" t="s">
        <v>874</v>
      </c>
      <c r="D261" t="s">
        <v>17</v>
      </c>
      <c r="E261" t="s">
        <v>70</v>
      </c>
      <c r="F261" t="s">
        <v>70</v>
      </c>
      <c r="G261" t="s">
        <v>875</v>
      </c>
      <c r="H261" t="s">
        <v>876</v>
      </c>
      <c r="I261" t="s">
        <v>877</v>
      </c>
    </row>
    <row r="262" spans="1:9" x14ac:dyDescent="0.25">
      <c r="A262" t="str">
        <f>"9013451710"</f>
        <v>9013451710</v>
      </c>
      <c r="B262" t="s">
        <v>9</v>
      </c>
      <c r="C262" t="s">
        <v>878</v>
      </c>
      <c r="D262" t="s">
        <v>11</v>
      </c>
      <c r="E262" t="s">
        <v>879</v>
      </c>
      <c r="F262" t="s">
        <v>879</v>
      </c>
      <c r="G262" t="s">
        <v>709</v>
      </c>
      <c r="H262" t="s">
        <v>880</v>
      </c>
      <c r="I262" t="s">
        <v>14</v>
      </c>
    </row>
    <row r="263" spans="1:9" x14ac:dyDescent="0.25">
      <c r="A263" t="str">
        <f>"8986815A56"</f>
        <v>8986815A56</v>
      </c>
      <c r="B263" t="s">
        <v>15</v>
      </c>
      <c r="C263" t="s">
        <v>881</v>
      </c>
      <c r="D263" t="s">
        <v>11</v>
      </c>
      <c r="E263" t="s">
        <v>882</v>
      </c>
      <c r="F263" t="s">
        <v>850</v>
      </c>
      <c r="G263" t="s">
        <v>883</v>
      </c>
      <c r="H263" t="s">
        <v>884</v>
      </c>
      <c r="I263" t="s">
        <v>885</v>
      </c>
    </row>
    <row r="264" spans="1:9" x14ac:dyDescent="0.25">
      <c r="A264" t="str">
        <f>"9109587CFE"</f>
        <v>9109587CFE</v>
      </c>
      <c r="B264" t="s">
        <v>15</v>
      </c>
      <c r="C264" t="s">
        <v>886</v>
      </c>
      <c r="D264" t="s">
        <v>17</v>
      </c>
      <c r="E264" t="s">
        <v>887</v>
      </c>
      <c r="F264" t="s">
        <v>887</v>
      </c>
      <c r="G264" t="s">
        <v>888</v>
      </c>
      <c r="H264" t="s">
        <v>889</v>
      </c>
      <c r="I264" t="s">
        <v>890</v>
      </c>
    </row>
    <row r="265" spans="1:9" x14ac:dyDescent="0.25">
      <c r="A265" t="str">
        <f>"9050818B48"</f>
        <v>9050818B48</v>
      </c>
      <c r="B265" t="s">
        <v>9</v>
      </c>
      <c r="C265" t="s">
        <v>891</v>
      </c>
      <c r="D265" t="s">
        <v>11</v>
      </c>
      <c r="E265" t="s">
        <v>892</v>
      </c>
      <c r="F265" t="s">
        <v>892</v>
      </c>
      <c r="G265" t="s">
        <v>893</v>
      </c>
      <c r="H265" t="s">
        <v>894</v>
      </c>
      <c r="I265" t="s">
        <v>893</v>
      </c>
    </row>
    <row r="266" spans="1:9" x14ac:dyDescent="0.25">
      <c r="A266" t="str">
        <f>"9097872979"</f>
        <v>9097872979</v>
      </c>
      <c r="B266" t="s">
        <v>9</v>
      </c>
      <c r="C266" t="s">
        <v>895</v>
      </c>
      <c r="D266" t="s">
        <v>11</v>
      </c>
      <c r="E266" t="s">
        <v>896</v>
      </c>
      <c r="F266" t="s">
        <v>896</v>
      </c>
      <c r="G266" t="s">
        <v>897</v>
      </c>
      <c r="H266" t="s">
        <v>894</v>
      </c>
      <c r="I266" t="s">
        <v>14</v>
      </c>
    </row>
    <row r="267" spans="1:9" x14ac:dyDescent="0.25">
      <c r="A267" t="str">
        <f>"9073108594"</f>
        <v>9073108594</v>
      </c>
      <c r="B267" t="s">
        <v>15</v>
      </c>
      <c r="C267" t="s">
        <v>898</v>
      </c>
      <c r="D267" t="s">
        <v>17</v>
      </c>
      <c r="E267" t="s">
        <v>850</v>
      </c>
      <c r="F267" t="s">
        <v>850</v>
      </c>
      <c r="G267" t="s">
        <v>899</v>
      </c>
      <c r="H267" t="s">
        <v>900</v>
      </c>
      <c r="I267" t="s">
        <v>901</v>
      </c>
    </row>
    <row r="268" spans="1:9" x14ac:dyDescent="0.25">
      <c r="A268" t="str">
        <f>"9106371F10"</f>
        <v>9106371F10</v>
      </c>
      <c r="B268" t="s">
        <v>9</v>
      </c>
      <c r="C268" t="s">
        <v>902</v>
      </c>
      <c r="D268" t="s">
        <v>11</v>
      </c>
      <c r="E268" t="s">
        <v>903</v>
      </c>
      <c r="F268" t="s">
        <v>903</v>
      </c>
      <c r="G268" t="s">
        <v>904</v>
      </c>
      <c r="H268" t="s">
        <v>894</v>
      </c>
      <c r="I268" t="s">
        <v>904</v>
      </c>
    </row>
    <row r="269" spans="1:9" x14ac:dyDescent="0.25">
      <c r="A269" t="str">
        <f>"910174231B"</f>
        <v>910174231B</v>
      </c>
      <c r="B269" t="s">
        <v>9</v>
      </c>
      <c r="C269" t="s">
        <v>905</v>
      </c>
      <c r="D269" t="s">
        <v>11</v>
      </c>
      <c r="E269" t="s">
        <v>385</v>
      </c>
      <c r="F269" t="s">
        <v>385</v>
      </c>
      <c r="G269" t="s">
        <v>906</v>
      </c>
      <c r="H269" t="s">
        <v>894</v>
      </c>
      <c r="I269" t="s">
        <v>906</v>
      </c>
    </row>
    <row r="270" spans="1:9" x14ac:dyDescent="0.25">
      <c r="A270" t="str">
        <f>"9052392E2F"</f>
        <v>9052392E2F</v>
      </c>
      <c r="B270" t="s">
        <v>9</v>
      </c>
      <c r="C270" t="s">
        <v>907</v>
      </c>
      <c r="D270" t="s">
        <v>11</v>
      </c>
      <c r="E270" t="s">
        <v>908</v>
      </c>
      <c r="F270" t="s">
        <v>908</v>
      </c>
      <c r="G270" t="s">
        <v>909</v>
      </c>
      <c r="H270" t="s">
        <v>894</v>
      </c>
      <c r="I270" t="s">
        <v>910</v>
      </c>
    </row>
    <row r="271" spans="1:9" x14ac:dyDescent="0.25">
      <c r="A271" t="str">
        <f>"9050746FDC"</f>
        <v>9050746FDC</v>
      </c>
      <c r="B271" t="s">
        <v>9</v>
      </c>
      <c r="C271" t="s">
        <v>911</v>
      </c>
      <c r="D271" t="s">
        <v>11</v>
      </c>
      <c r="E271" t="s">
        <v>912</v>
      </c>
      <c r="F271" t="s">
        <v>912</v>
      </c>
      <c r="G271" t="s">
        <v>913</v>
      </c>
      <c r="H271" t="s">
        <v>894</v>
      </c>
      <c r="I271" t="s">
        <v>913</v>
      </c>
    </row>
    <row r="272" spans="1:9" x14ac:dyDescent="0.25">
      <c r="A272" t="str">
        <f>"90732499EE"</f>
        <v>90732499EE</v>
      </c>
      <c r="B272" t="s">
        <v>15</v>
      </c>
      <c r="C272" t="s">
        <v>914</v>
      </c>
      <c r="D272" t="s">
        <v>17</v>
      </c>
      <c r="E272" t="s">
        <v>209</v>
      </c>
      <c r="F272" t="s">
        <v>209</v>
      </c>
      <c r="G272" t="s">
        <v>61</v>
      </c>
      <c r="H272" t="s">
        <v>915</v>
      </c>
      <c r="I272" t="s">
        <v>61</v>
      </c>
    </row>
    <row r="273" spans="1:9" x14ac:dyDescent="0.25">
      <c r="A273" t="str">
        <f>"9084185A9A"</f>
        <v>9084185A9A</v>
      </c>
      <c r="B273" t="s">
        <v>15</v>
      </c>
      <c r="C273" t="s">
        <v>916</v>
      </c>
      <c r="D273" t="s">
        <v>17</v>
      </c>
      <c r="E273" t="s">
        <v>917</v>
      </c>
      <c r="F273" t="s">
        <v>917</v>
      </c>
      <c r="G273" t="s">
        <v>918</v>
      </c>
      <c r="H273" t="s">
        <v>919</v>
      </c>
      <c r="I273" t="s">
        <v>920</v>
      </c>
    </row>
    <row r="274" spans="1:9" x14ac:dyDescent="0.25">
      <c r="A274" t="str">
        <f>"9081180ACC"</f>
        <v>9081180ACC</v>
      </c>
      <c r="B274" t="s">
        <v>15</v>
      </c>
      <c r="C274" t="s">
        <v>921</v>
      </c>
      <c r="D274" t="s">
        <v>17</v>
      </c>
      <c r="E274" t="s">
        <v>922</v>
      </c>
      <c r="F274" t="s">
        <v>922</v>
      </c>
      <c r="G274" t="s">
        <v>910</v>
      </c>
      <c r="H274" t="s">
        <v>919</v>
      </c>
      <c r="I274" t="s">
        <v>923</v>
      </c>
    </row>
    <row r="275" spans="1:9" x14ac:dyDescent="0.25">
      <c r="A275" t="str">
        <f>"8783315CD2"</f>
        <v>8783315CD2</v>
      </c>
      <c r="B275" t="s">
        <v>24</v>
      </c>
      <c r="C275" t="s">
        <v>924</v>
      </c>
      <c r="D275" t="s">
        <v>11</v>
      </c>
      <c r="E275" t="s">
        <v>925</v>
      </c>
      <c r="F275" t="s">
        <v>926</v>
      </c>
      <c r="G275" t="s">
        <v>927</v>
      </c>
      <c r="H275" t="s">
        <v>928</v>
      </c>
      <c r="I275" t="s">
        <v>929</v>
      </c>
    </row>
    <row r="276" spans="1:9" x14ac:dyDescent="0.25">
      <c r="A276" t="str">
        <f>"9073270B42"</f>
        <v>9073270B42</v>
      </c>
      <c r="B276" t="s">
        <v>15</v>
      </c>
      <c r="C276" t="s">
        <v>930</v>
      </c>
      <c r="D276" t="s">
        <v>17</v>
      </c>
      <c r="E276" t="s">
        <v>28</v>
      </c>
      <c r="F276" t="s">
        <v>28</v>
      </c>
      <c r="G276" t="s">
        <v>931</v>
      </c>
      <c r="H276" t="s">
        <v>932</v>
      </c>
      <c r="I276" t="s">
        <v>931</v>
      </c>
    </row>
    <row r="277" spans="1:9" x14ac:dyDescent="0.25">
      <c r="A277" t="str">
        <f>"9074924032"</f>
        <v>9074924032</v>
      </c>
      <c r="B277" t="s">
        <v>15</v>
      </c>
      <c r="C277" t="s">
        <v>933</v>
      </c>
      <c r="D277" t="s">
        <v>11</v>
      </c>
      <c r="E277" t="s">
        <v>934</v>
      </c>
      <c r="F277" t="s">
        <v>934</v>
      </c>
      <c r="G277" t="s">
        <v>935</v>
      </c>
      <c r="H277" t="s">
        <v>936</v>
      </c>
      <c r="I277" t="s">
        <v>937</v>
      </c>
    </row>
    <row r="278" spans="1:9" x14ac:dyDescent="0.25">
      <c r="A278" t="str">
        <f>"9073154B88"</f>
        <v>9073154B88</v>
      </c>
      <c r="B278" t="s">
        <v>15</v>
      </c>
      <c r="C278" t="s">
        <v>938</v>
      </c>
      <c r="D278" t="s">
        <v>17</v>
      </c>
      <c r="E278" t="s">
        <v>606</v>
      </c>
      <c r="F278" t="s">
        <v>606</v>
      </c>
      <c r="G278" t="s">
        <v>939</v>
      </c>
      <c r="H278" t="s">
        <v>932</v>
      </c>
      <c r="I278" t="s">
        <v>14</v>
      </c>
    </row>
    <row r="279" spans="1:9" x14ac:dyDescent="0.25">
      <c r="A279" t="str">
        <f>"9079582418"</f>
        <v>9079582418</v>
      </c>
      <c r="B279" t="s">
        <v>15</v>
      </c>
      <c r="C279" t="s">
        <v>940</v>
      </c>
      <c r="D279" t="s">
        <v>17</v>
      </c>
      <c r="E279" t="s">
        <v>941</v>
      </c>
      <c r="F279" t="s">
        <v>941</v>
      </c>
      <c r="G279" t="s">
        <v>942</v>
      </c>
      <c r="H279" t="s">
        <v>943</v>
      </c>
      <c r="I279" t="s">
        <v>944</v>
      </c>
    </row>
    <row r="280" spans="1:9" x14ac:dyDescent="0.25">
      <c r="A280" t="str">
        <f>"0000000000"</f>
        <v>0000000000</v>
      </c>
      <c r="B280" t="s">
        <v>15</v>
      </c>
      <c r="C280" t="s">
        <v>945</v>
      </c>
      <c r="D280" t="s">
        <v>17</v>
      </c>
      <c r="E280" t="s">
        <v>946</v>
      </c>
      <c r="F280" t="s">
        <v>946</v>
      </c>
      <c r="G280" t="s">
        <v>947</v>
      </c>
      <c r="H280" t="s">
        <v>948</v>
      </c>
      <c r="I280" t="s">
        <v>14</v>
      </c>
    </row>
    <row r="281" spans="1:9" x14ac:dyDescent="0.25">
      <c r="A281" t="str">
        <f>"90731708BD"</f>
        <v>90731708BD</v>
      </c>
      <c r="B281" t="s">
        <v>15</v>
      </c>
      <c r="C281" t="s">
        <v>949</v>
      </c>
      <c r="D281" t="s">
        <v>17</v>
      </c>
      <c r="E281" t="s">
        <v>950</v>
      </c>
      <c r="F281" t="s">
        <v>950</v>
      </c>
      <c r="G281" t="s">
        <v>951</v>
      </c>
      <c r="H281" t="s">
        <v>952</v>
      </c>
      <c r="I281" t="s">
        <v>951</v>
      </c>
    </row>
    <row r="282" spans="1:9" x14ac:dyDescent="0.25">
      <c r="A282" t="str">
        <f>"876965978A"</f>
        <v>876965978A</v>
      </c>
      <c r="B282" t="s">
        <v>24</v>
      </c>
      <c r="C282" t="s">
        <v>953</v>
      </c>
      <c r="D282" t="s">
        <v>26</v>
      </c>
      <c r="E282" t="s">
        <v>954</v>
      </c>
      <c r="F282" t="s">
        <v>850</v>
      </c>
      <c r="G282" t="s">
        <v>955</v>
      </c>
      <c r="H282" t="s">
        <v>956</v>
      </c>
      <c r="I282" t="s">
        <v>957</v>
      </c>
    </row>
    <row r="283" spans="1:9" x14ac:dyDescent="0.25">
      <c r="A283" t="str">
        <f>"9029707DEE"</f>
        <v>9029707DEE</v>
      </c>
      <c r="B283" t="s">
        <v>15</v>
      </c>
      <c r="C283" t="s">
        <v>958</v>
      </c>
      <c r="D283" t="s">
        <v>11</v>
      </c>
      <c r="E283" t="s">
        <v>959</v>
      </c>
      <c r="F283" t="s">
        <v>960</v>
      </c>
      <c r="G283" t="s">
        <v>961</v>
      </c>
      <c r="H283" t="s">
        <v>962</v>
      </c>
      <c r="I283" t="s">
        <v>963</v>
      </c>
    </row>
    <row r="284" spans="1:9" x14ac:dyDescent="0.25">
      <c r="A284" t="str">
        <f>"8999672C44"</f>
        <v>8999672C44</v>
      </c>
      <c r="B284" t="s">
        <v>15</v>
      </c>
      <c r="C284" t="s">
        <v>964</v>
      </c>
      <c r="D284" t="s">
        <v>11</v>
      </c>
      <c r="E284" t="s">
        <v>965</v>
      </c>
      <c r="F284" t="s">
        <v>174</v>
      </c>
      <c r="G284" t="s">
        <v>966</v>
      </c>
      <c r="H284" t="s">
        <v>967</v>
      </c>
      <c r="I284" t="s">
        <v>966</v>
      </c>
    </row>
    <row r="285" spans="1:9" x14ac:dyDescent="0.25">
      <c r="A285" t="str">
        <f>"9083580758"</f>
        <v>9083580758</v>
      </c>
      <c r="B285" t="s">
        <v>15</v>
      </c>
      <c r="C285" t="s">
        <v>968</v>
      </c>
      <c r="D285" t="s">
        <v>11</v>
      </c>
      <c r="E285" t="s">
        <v>969</v>
      </c>
      <c r="F285" t="s">
        <v>969</v>
      </c>
      <c r="G285" t="s">
        <v>970</v>
      </c>
      <c r="H285" t="s">
        <v>971</v>
      </c>
      <c r="I285" t="s">
        <v>970</v>
      </c>
    </row>
    <row r="286" spans="1:9" x14ac:dyDescent="0.25">
      <c r="A286" t="str">
        <f>"9009626294"</f>
        <v>9009626294</v>
      </c>
      <c r="B286" t="s">
        <v>15</v>
      </c>
      <c r="C286" t="s">
        <v>972</v>
      </c>
      <c r="D286" t="s">
        <v>17</v>
      </c>
      <c r="E286" t="s">
        <v>887</v>
      </c>
      <c r="F286" t="s">
        <v>887</v>
      </c>
      <c r="G286" t="s">
        <v>973</v>
      </c>
      <c r="H286" t="s">
        <v>974</v>
      </c>
      <c r="I286" t="s">
        <v>975</v>
      </c>
    </row>
    <row r="287" spans="1:9" x14ac:dyDescent="0.25">
      <c r="A287" t="str">
        <f>"8861045DA5"</f>
        <v>8861045DA5</v>
      </c>
      <c r="B287" t="s">
        <v>30</v>
      </c>
      <c r="C287" t="s">
        <v>976</v>
      </c>
      <c r="D287" t="s">
        <v>11</v>
      </c>
      <c r="E287" t="s">
        <v>977</v>
      </c>
      <c r="F287" t="s">
        <v>978</v>
      </c>
      <c r="G287" t="s">
        <v>979</v>
      </c>
      <c r="H287" t="s">
        <v>980</v>
      </c>
      <c r="I287" t="s">
        <v>14</v>
      </c>
    </row>
    <row r="288" spans="1:9" x14ac:dyDescent="0.25">
      <c r="A288" t="str">
        <f>"8861103D82"</f>
        <v>8861103D82</v>
      </c>
      <c r="B288" t="s">
        <v>30</v>
      </c>
      <c r="C288" t="s">
        <v>981</v>
      </c>
      <c r="D288" t="s">
        <v>11</v>
      </c>
      <c r="E288" t="s">
        <v>982</v>
      </c>
      <c r="F288" t="s">
        <v>569</v>
      </c>
      <c r="G288" t="s">
        <v>983</v>
      </c>
      <c r="H288" t="s">
        <v>980</v>
      </c>
      <c r="I288" t="s">
        <v>984</v>
      </c>
    </row>
    <row r="289" spans="1:9" x14ac:dyDescent="0.25">
      <c r="A289" t="str">
        <f>"9067651E4F"</f>
        <v>9067651E4F</v>
      </c>
      <c r="B289" t="s">
        <v>274</v>
      </c>
      <c r="C289" t="s">
        <v>985</v>
      </c>
      <c r="D289" t="s">
        <v>11</v>
      </c>
      <c r="E289" t="s">
        <v>986</v>
      </c>
      <c r="F289" t="s">
        <v>986</v>
      </c>
      <c r="G289" t="s">
        <v>987</v>
      </c>
      <c r="H289" t="s">
        <v>988</v>
      </c>
      <c r="I289" t="s">
        <v>987</v>
      </c>
    </row>
    <row r="290" spans="1:9" x14ac:dyDescent="0.25">
      <c r="A290" t="str">
        <f>"90676361F2"</f>
        <v>90676361F2</v>
      </c>
      <c r="B290" t="s">
        <v>274</v>
      </c>
      <c r="C290" t="s">
        <v>989</v>
      </c>
      <c r="D290" t="s">
        <v>11</v>
      </c>
      <c r="E290" t="s">
        <v>990</v>
      </c>
      <c r="F290" t="s">
        <v>991</v>
      </c>
      <c r="G290" t="s">
        <v>607</v>
      </c>
      <c r="H290" t="s">
        <v>988</v>
      </c>
      <c r="I290" t="s">
        <v>607</v>
      </c>
    </row>
    <row r="291" spans="1:9" x14ac:dyDescent="0.25">
      <c r="A291" t="str">
        <f>"90676437B7"</f>
        <v>90676437B7</v>
      </c>
      <c r="B291" t="s">
        <v>274</v>
      </c>
      <c r="C291" t="s">
        <v>992</v>
      </c>
      <c r="D291" t="s">
        <v>11</v>
      </c>
      <c r="E291" t="s">
        <v>990</v>
      </c>
      <c r="F291" t="s">
        <v>991</v>
      </c>
      <c r="G291" t="s">
        <v>993</v>
      </c>
      <c r="H291" t="s">
        <v>988</v>
      </c>
      <c r="I291" t="s">
        <v>993</v>
      </c>
    </row>
    <row r="292" spans="1:9" x14ac:dyDescent="0.25">
      <c r="A292" t="str">
        <f>"9067604788"</f>
        <v>9067604788</v>
      </c>
      <c r="B292" t="s">
        <v>274</v>
      </c>
      <c r="C292" t="s">
        <v>994</v>
      </c>
      <c r="D292" t="s">
        <v>11</v>
      </c>
      <c r="E292" t="s">
        <v>990</v>
      </c>
      <c r="F292" t="s">
        <v>991</v>
      </c>
      <c r="G292" t="s">
        <v>995</v>
      </c>
      <c r="H292" t="s">
        <v>988</v>
      </c>
      <c r="I292" t="s">
        <v>995</v>
      </c>
    </row>
    <row r="293" spans="1:9" x14ac:dyDescent="0.25">
      <c r="A293" t="str">
        <f>"906759501D"</f>
        <v>906759501D</v>
      </c>
      <c r="B293" t="s">
        <v>274</v>
      </c>
      <c r="C293" t="s">
        <v>996</v>
      </c>
      <c r="D293" t="s">
        <v>11</v>
      </c>
      <c r="E293" t="s">
        <v>990</v>
      </c>
      <c r="F293" t="s">
        <v>991</v>
      </c>
      <c r="G293" t="s">
        <v>997</v>
      </c>
      <c r="H293" t="s">
        <v>988</v>
      </c>
      <c r="I293" t="s">
        <v>997</v>
      </c>
    </row>
    <row r="294" spans="1:9" x14ac:dyDescent="0.25">
      <c r="A294" t="str">
        <f>"90676258DC"</f>
        <v>90676258DC</v>
      </c>
      <c r="B294" t="s">
        <v>274</v>
      </c>
      <c r="C294" t="s">
        <v>998</v>
      </c>
      <c r="D294" t="s">
        <v>11</v>
      </c>
      <c r="E294" t="s">
        <v>990</v>
      </c>
      <c r="F294" t="s">
        <v>991</v>
      </c>
      <c r="G294" t="s">
        <v>999</v>
      </c>
      <c r="H294" t="s">
        <v>988</v>
      </c>
      <c r="I294" t="s">
        <v>999</v>
      </c>
    </row>
    <row r="295" spans="1:9" x14ac:dyDescent="0.25">
      <c r="A295" t="str">
        <f>"894931585C"</f>
        <v>894931585C</v>
      </c>
      <c r="B295" t="s">
        <v>9</v>
      </c>
      <c r="C295" t="s">
        <v>1000</v>
      </c>
      <c r="D295" t="s">
        <v>11</v>
      </c>
      <c r="E295" t="s">
        <v>375</v>
      </c>
      <c r="F295" t="s">
        <v>375</v>
      </c>
      <c r="G295" t="s">
        <v>1001</v>
      </c>
      <c r="H295" t="s">
        <v>1002</v>
      </c>
      <c r="I295" t="s">
        <v>1003</v>
      </c>
    </row>
    <row r="296" spans="1:9" x14ac:dyDescent="0.25">
      <c r="A296" t="str">
        <f>"8904473B91"</f>
        <v>8904473B91</v>
      </c>
      <c r="B296" t="s">
        <v>24</v>
      </c>
      <c r="C296" t="s">
        <v>1004</v>
      </c>
      <c r="D296" t="s">
        <v>17</v>
      </c>
      <c r="E296" t="s">
        <v>504</v>
      </c>
      <c r="F296" t="s">
        <v>504</v>
      </c>
      <c r="G296" t="s">
        <v>1005</v>
      </c>
      <c r="H296" t="s">
        <v>1006</v>
      </c>
      <c r="I296" t="s">
        <v>1007</v>
      </c>
    </row>
    <row r="297" spans="1:9" x14ac:dyDescent="0.25">
      <c r="A297" t="str">
        <f>"9053096328"</f>
        <v>9053096328</v>
      </c>
      <c r="B297" t="s">
        <v>9</v>
      </c>
      <c r="C297" t="s">
        <v>1008</v>
      </c>
      <c r="D297" t="s">
        <v>11</v>
      </c>
      <c r="E297" t="s">
        <v>1009</v>
      </c>
      <c r="F297" t="s">
        <v>1009</v>
      </c>
      <c r="G297" t="s">
        <v>1010</v>
      </c>
      <c r="H297" t="s">
        <v>1011</v>
      </c>
      <c r="I297" t="s">
        <v>1012</v>
      </c>
    </row>
    <row r="298" spans="1:9" x14ac:dyDescent="0.25">
      <c r="A298" t="str">
        <f>"90531049C0"</f>
        <v>90531049C0</v>
      </c>
      <c r="B298" t="s">
        <v>9</v>
      </c>
      <c r="C298" t="s">
        <v>1013</v>
      </c>
      <c r="D298" t="s">
        <v>11</v>
      </c>
      <c r="E298" t="s">
        <v>385</v>
      </c>
      <c r="F298" t="s">
        <v>385</v>
      </c>
      <c r="G298" t="s">
        <v>531</v>
      </c>
      <c r="H298" t="s">
        <v>1011</v>
      </c>
      <c r="I298" t="s">
        <v>1014</v>
      </c>
    </row>
    <row r="299" spans="1:9" x14ac:dyDescent="0.25">
      <c r="A299" t="str">
        <f>"9050782D92"</f>
        <v>9050782D92</v>
      </c>
      <c r="B299" t="s">
        <v>9</v>
      </c>
      <c r="C299" t="s">
        <v>1015</v>
      </c>
      <c r="D299" t="s">
        <v>11</v>
      </c>
      <c r="E299" t="s">
        <v>664</v>
      </c>
      <c r="F299" t="s">
        <v>664</v>
      </c>
      <c r="G299" t="s">
        <v>1016</v>
      </c>
      <c r="H299" t="s">
        <v>1011</v>
      </c>
      <c r="I299" t="s">
        <v>1016</v>
      </c>
    </row>
    <row r="300" spans="1:9" x14ac:dyDescent="0.25">
      <c r="A300" t="str">
        <f>"8912326C11"</f>
        <v>8912326C11</v>
      </c>
      <c r="B300" t="s">
        <v>9</v>
      </c>
      <c r="C300" t="s">
        <v>1017</v>
      </c>
      <c r="D300" t="s">
        <v>11</v>
      </c>
      <c r="E300" t="s">
        <v>1018</v>
      </c>
      <c r="F300" t="s">
        <v>1018</v>
      </c>
      <c r="G300" t="s">
        <v>1019</v>
      </c>
      <c r="H300" t="s">
        <v>1020</v>
      </c>
      <c r="I300" t="s">
        <v>1021</v>
      </c>
    </row>
    <row r="301" spans="1:9" x14ac:dyDescent="0.25">
      <c r="A301" t="str">
        <f>"9024767154"</f>
        <v>9024767154</v>
      </c>
      <c r="B301" t="s">
        <v>15</v>
      </c>
      <c r="C301" t="s">
        <v>1022</v>
      </c>
      <c r="D301" t="s">
        <v>11</v>
      </c>
      <c r="E301" t="s">
        <v>1023</v>
      </c>
      <c r="F301" t="s">
        <v>343</v>
      </c>
      <c r="G301" t="s">
        <v>1024</v>
      </c>
      <c r="H301" t="s">
        <v>1025</v>
      </c>
      <c r="I301" t="s">
        <v>1026</v>
      </c>
    </row>
    <row r="302" spans="1:9" x14ac:dyDescent="0.25">
      <c r="A302" t="str">
        <f>"8933615C4E"</f>
        <v>8933615C4E</v>
      </c>
      <c r="B302" t="s">
        <v>9</v>
      </c>
      <c r="C302" t="s">
        <v>1027</v>
      </c>
      <c r="D302" t="s">
        <v>26</v>
      </c>
      <c r="E302" t="s">
        <v>1028</v>
      </c>
      <c r="F302" t="s">
        <v>1028</v>
      </c>
      <c r="G302" t="s">
        <v>1029</v>
      </c>
      <c r="H302" t="s">
        <v>1030</v>
      </c>
      <c r="I302" t="s">
        <v>1031</v>
      </c>
    </row>
    <row r="303" spans="1:9" x14ac:dyDescent="0.25">
      <c r="A303" t="str">
        <f>"89425032ED"</f>
        <v>89425032ED</v>
      </c>
      <c r="B303" t="s">
        <v>15</v>
      </c>
      <c r="C303" t="s">
        <v>1032</v>
      </c>
      <c r="D303" t="s">
        <v>11</v>
      </c>
      <c r="E303" t="s">
        <v>1033</v>
      </c>
      <c r="F303" t="s">
        <v>267</v>
      </c>
      <c r="G303" t="s">
        <v>1034</v>
      </c>
      <c r="H303" t="s">
        <v>1035</v>
      </c>
      <c r="I303" t="s">
        <v>1036</v>
      </c>
    </row>
    <row r="304" spans="1:9" x14ac:dyDescent="0.25">
      <c r="A304" t="str">
        <f>"9044352361"</f>
        <v>9044352361</v>
      </c>
      <c r="B304" t="s">
        <v>9</v>
      </c>
      <c r="C304" t="s">
        <v>1037</v>
      </c>
      <c r="D304" t="s">
        <v>11</v>
      </c>
      <c r="E304" t="s">
        <v>122</v>
      </c>
      <c r="F304" t="s">
        <v>122</v>
      </c>
      <c r="G304" t="s">
        <v>1038</v>
      </c>
      <c r="H304" t="s">
        <v>1039</v>
      </c>
      <c r="I304" t="s">
        <v>1040</v>
      </c>
    </row>
    <row r="305" spans="1:9" x14ac:dyDescent="0.25">
      <c r="A305" t="str">
        <f>"9049535885"</f>
        <v>9049535885</v>
      </c>
      <c r="B305" t="s">
        <v>9</v>
      </c>
      <c r="C305" t="s">
        <v>1041</v>
      </c>
      <c r="D305" t="s">
        <v>11</v>
      </c>
      <c r="E305" t="s">
        <v>336</v>
      </c>
      <c r="F305" t="s">
        <v>336</v>
      </c>
      <c r="G305" t="s">
        <v>1042</v>
      </c>
      <c r="H305" t="s">
        <v>1039</v>
      </c>
      <c r="I305" t="s">
        <v>1042</v>
      </c>
    </row>
    <row r="306" spans="1:9" x14ac:dyDescent="0.25">
      <c r="A306" t="str">
        <f>"904481731C"</f>
        <v>904481731C</v>
      </c>
      <c r="B306" t="s">
        <v>9</v>
      </c>
      <c r="C306" t="s">
        <v>1043</v>
      </c>
      <c r="D306" t="s">
        <v>11</v>
      </c>
      <c r="E306" t="s">
        <v>1044</v>
      </c>
      <c r="F306" t="s">
        <v>1044</v>
      </c>
      <c r="G306" t="s">
        <v>1045</v>
      </c>
      <c r="H306" t="s">
        <v>1039</v>
      </c>
      <c r="I306" t="s">
        <v>1045</v>
      </c>
    </row>
    <row r="307" spans="1:9" x14ac:dyDescent="0.25">
      <c r="A307" t="str">
        <f>"9038407967"</f>
        <v>9038407967</v>
      </c>
      <c r="B307" t="s">
        <v>9</v>
      </c>
      <c r="C307" t="s">
        <v>1046</v>
      </c>
      <c r="D307" t="s">
        <v>11</v>
      </c>
      <c r="E307" t="s">
        <v>1047</v>
      </c>
      <c r="F307" t="s">
        <v>1047</v>
      </c>
      <c r="G307" t="s">
        <v>1048</v>
      </c>
      <c r="H307" t="s">
        <v>1039</v>
      </c>
      <c r="I307" t="s">
        <v>1048</v>
      </c>
    </row>
    <row r="308" spans="1:9" x14ac:dyDescent="0.25">
      <c r="A308" t="str">
        <f>"9038390B5F"</f>
        <v>9038390B5F</v>
      </c>
      <c r="B308" t="s">
        <v>9</v>
      </c>
      <c r="C308" t="s">
        <v>1049</v>
      </c>
      <c r="D308" t="s">
        <v>11</v>
      </c>
      <c r="E308" t="s">
        <v>1050</v>
      </c>
      <c r="F308" t="s">
        <v>1050</v>
      </c>
      <c r="G308" t="s">
        <v>1051</v>
      </c>
      <c r="H308" t="s">
        <v>1039</v>
      </c>
      <c r="I308" t="s">
        <v>14</v>
      </c>
    </row>
    <row r="309" spans="1:9" x14ac:dyDescent="0.25">
      <c r="A309" t="str">
        <f>"9044359926"</f>
        <v>9044359926</v>
      </c>
      <c r="B309" t="s">
        <v>9</v>
      </c>
      <c r="C309" t="s">
        <v>1052</v>
      </c>
      <c r="D309" t="s">
        <v>11</v>
      </c>
      <c r="E309" t="s">
        <v>445</v>
      </c>
      <c r="F309" t="s">
        <v>445</v>
      </c>
      <c r="G309" t="s">
        <v>1053</v>
      </c>
      <c r="H309" t="s">
        <v>1039</v>
      </c>
      <c r="I309" t="s">
        <v>1053</v>
      </c>
    </row>
    <row r="310" spans="1:9" x14ac:dyDescent="0.25">
      <c r="A310" t="str">
        <f>"903834563E"</f>
        <v>903834563E</v>
      </c>
      <c r="B310" t="s">
        <v>9</v>
      </c>
      <c r="C310" t="s">
        <v>1054</v>
      </c>
      <c r="D310" t="s">
        <v>11</v>
      </c>
      <c r="E310" t="s">
        <v>1055</v>
      </c>
      <c r="F310" t="s">
        <v>1055</v>
      </c>
      <c r="G310" t="s">
        <v>1056</v>
      </c>
      <c r="H310" t="s">
        <v>1057</v>
      </c>
      <c r="I310" t="s">
        <v>1056</v>
      </c>
    </row>
    <row r="311" spans="1:9" x14ac:dyDescent="0.25">
      <c r="A311" t="str">
        <f>"9044227C37"</f>
        <v>9044227C37</v>
      </c>
      <c r="B311" t="s">
        <v>9</v>
      </c>
      <c r="C311" t="s">
        <v>1058</v>
      </c>
      <c r="D311" t="s">
        <v>11</v>
      </c>
      <c r="E311" t="s">
        <v>209</v>
      </c>
      <c r="F311" t="s">
        <v>209</v>
      </c>
      <c r="G311" t="s">
        <v>1059</v>
      </c>
      <c r="H311" t="s">
        <v>1057</v>
      </c>
      <c r="I311" t="s">
        <v>1059</v>
      </c>
    </row>
    <row r="312" spans="1:9" x14ac:dyDescent="0.25">
      <c r="A312" t="str">
        <f>"903826543A"</f>
        <v>903826543A</v>
      </c>
      <c r="B312" t="s">
        <v>9</v>
      </c>
      <c r="C312" t="s">
        <v>1060</v>
      </c>
      <c r="D312" t="s">
        <v>11</v>
      </c>
      <c r="E312" t="s">
        <v>1061</v>
      </c>
      <c r="F312" t="s">
        <v>1061</v>
      </c>
      <c r="G312" t="s">
        <v>1062</v>
      </c>
      <c r="H312" t="s">
        <v>1057</v>
      </c>
      <c r="I312" t="s">
        <v>1062</v>
      </c>
    </row>
    <row r="313" spans="1:9" x14ac:dyDescent="0.25">
      <c r="A313" t="str">
        <f>"9038304469"</f>
        <v>9038304469</v>
      </c>
      <c r="B313" t="s">
        <v>9</v>
      </c>
      <c r="C313" t="s">
        <v>1063</v>
      </c>
      <c r="D313" t="s">
        <v>11</v>
      </c>
      <c r="E313" t="s">
        <v>1064</v>
      </c>
      <c r="F313" t="s">
        <v>1064</v>
      </c>
      <c r="G313" t="s">
        <v>1065</v>
      </c>
      <c r="H313" t="s">
        <v>1057</v>
      </c>
      <c r="I313" t="s">
        <v>1065</v>
      </c>
    </row>
    <row r="314" spans="1:9" x14ac:dyDescent="0.25">
      <c r="A314" t="str">
        <f>"89585930D1"</f>
        <v>89585930D1</v>
      </c>
      <c r="B314" t="s">
        <v>274</v>
      </c>
      <c r="C314" t="s">
        <v>1066</v>
      </c>
      <c r="D314" t="s">
        <v>11</v>
      </c>
      <c r="E314" t="s">
        <v>455</v>
      </c>
      <c r="F314" t="s">
        <v>455</v>
      </c>
      <c r="G314" t="s">
        <v>1067</v>
      </c>
      <c r="H314" t="s">
        <v>1068</v>
      </c>
      <c r="I314" t="s">
        <v>1069</v>
      </c>
    </row>
    <row r="315" spans="1:9" x14ac:dyDescent="0.25">
      <c r="A315" t="str">
        <f>"9009857135"</f>
        <v>9009857135</v>
      </c>
      <c r="B315" t="s">
        <v>15</v>
      </c>
      <c r="C315" t="s">
        <v>1070</v>
      </c>
      <c r="D315" t="s">
        <v>11</v>
      </c>
      <c r="E315" t="s">
        <v>340</v>
      </c>
      <c r="F315" t="s">
        <v>340</v>
      </c>
      <c r="G315" t="s">
        <v>1071</v>
      </c>
      <c r="H315" t="s">
        <v>1072</v>
      </c>
      <c r="I315" t="s">
        <v>1071</v>
      </c>
    </row>
    <row r="316" spans="1:9" x14ac:dyDescent="0.25">
      <c r="A316" t="str">
        <f>"90537449E5"</f>
        <v>90537449E5</v>
      </c>
      <c r="B316" t="s">
        <v>15</v>
      </c>
      <c r="C316" t="s">
        <v>1073</v>
      </c>
      <c r="D316" t="s">
        <v>11</v>
      </c>
      <c r="E316" t="s">
        <v>1074</v>
      </c>
      <c r="F316" t="s">
        <v>1074</v>
      </c>
      <c r="G316" t="s">
        <v>999</v>
      </c>
      <c r="H316" t="s">
        <v>1072</v>
      </c>
      <c r="I316" t="s">
        <v>999</v>
      </c>
    </row>
    <row r="317" spans="1:9" x14ac:dyDescent="0.25">
      <c r="A317" t="str">
        <f>"90504381B5"</f>
        <v>90504381B5</v>
      </c>
      <c r="B317" t="s">
        <v>274</v>
      </c>
      <c r="C317" t="s">
        <v>1075</v>
      </c>
      <c r="D317" t="s">
        <v>11</v>
      </c>
      <c r="E317" t="s">
        <v>1076</v>
      </c>
      <c r="F317" t="s">
        <v>1076</v>
      </c>
      <c r="G317" t="s">
        <v>1077</v>
      </c>
      <c r="H317" t="s">
        <v>1078</v>
      </c>
      <c r="I317" t="s">
        <v>1079</v>
      </c>
    </row>
    <row r="318" spans="1:9" x14ac:dyDescent="0.25">
      <c r="A318" t="str">
        <f t="shared" ref="A318:A324" si="0">"0000000000"</f>
        <v>0000000000</v>
      </c>
      <c r="B318" t="s">
        <v>1080</v>
      </c>
      <c r="C318" t="s">
        <v>1081</v>
      </c>
      <c r="D318" t="s">
        <v>11</v>
      </c>
      <c r="E318" t="s">
        <v>1082</v>
      </c>
      <c r="F318" t="s">
        <v>1082</v>
      </c>
      <c r="G318" t="s">
        <v>1083</v>
      </c>
      <c r="H318" t="s">
        <v>1084</v>
      </c>
      <c r="I318" t="s">
        <v>14</v>
      </c>
    </row>
    <row r="319" spans="1:9" x14ac:dyDescent="0.25">
      <c r="A319" t="str">
        <f t="shared" si="0"/>
        <v>0000000000</v>
      </c>
      <c r="B319" t="s">
        <v>1080</v>
      </c>
      <c r="C319" t="s">
        <v>1085</v>
      </c>
      <c r="D319" t="s">
        <v>11</v>
      </c>
      <c r="E319" t="s">
        <v>1086</v>
      </c>
      <c r="F319" t="s">
        <v>1086</v>
      </c>
      <c r="G319" t="s">
        <v>1087</v>
      </c>
      <c r="H319" t="s">
        <v>1084</v>
      </c>
      <c r="I319" t="s">
        <v>14</v>
      </c>
    </row>
    <row r="320" spans="1:9" x14ac:dyDescent="0.25">
      <c r="A320" t="str">
        <f t="shared" si="0"/>
        <v>0000000000</v>
      </c>
      <c r="B320" t="s">
        <v>1080</v>
      </c>
      <c r="C320" t="s">
        <v>1088</v>
      </c>
      <c r="D320" t="s">
        <v>11</v>
      </c>
      <c r="E320" t="s">
        <v>1089</v>
      </c>
      <c r="F320" t="s">
        <v>1089</v>
      </c>
      <c r="G320" t="s">
        <v>1090</v>
      </c>
      <c r="H320" t="s">
        <v>1084</v>
      </c>
      <c r="I320" t="s">
        <v>14</v>
      </c>
    </row>
    <row r="321" spans="1:9" x14ac:dyDescent="0.25">
      <c r="A321" t="str">
        <f t="shared" si="0"/>
        <v>0000000000</v>
      </c>
      <c r="B321" t="s">
        <v>1080</v>
      </c>
      <c r="C321" t="s">
        <v>1091</v>
      </c>
      <c r="D321" t="s">
        <v>11</v>
      </c>
      <c r="E321" t="s">
        <v>1086</v>
      </c>
      <c r="F321" t="s">
        <v>1086</v>
      </c>
      <c r="G321" t="s">
        <v>1092</v>
      </c>
      <c r="H321" t="s">
        <v>1084</v>
      </c>
      <c r="I321" t="s">
        <v>14</v>
      </c>
    </row>
    <row r="322" spans="1:9" x14ac:dyDescent="0.25">
      <c r="A322" t="str">
        <f t="shared" si="0"/>
        <v>0000000000</v>
      </c>
      <c r="B322" t="s">
        <v>1080</v>
      </c>
      <c r="C322" t="s">
        <v>1093</v>
      </c>
      <c r="D322" t="s">
        <v>11</v>
      </c>
      <c r="E322" t="s">
        <v>460</v>
      </c>
      <c r="F322" t="s">
        <v>460</v>
      </c>
      <c r="G322" t="s">
        <v>1094</v>
      </c>
      <c r="H322" t="s">
        <v>1084</v>
      </c>
      <c r="I322" t="s">
        <v>14</v>
      </c>
    </row>
    <row r="323" spans="1:9" x14ac:dyDescent="0.25">
      <c r="A323" t="str">
        <f t="shared" si="0"/>
        <v>0000000000</v>
      </c>
      <c r="B323" t="s">
        <v>1080</v>
      </c>
      <c r="C323" t="s">
        <v>1095</v>
      </c>
      <c r="D323" t="s">
        <v>11</v>
      </c>
      <c r="E323" t="s">
        <v>1082</v>
      </c>
      <c r="F323" t="s">
        <v>1082</v>
      </c>
      <c r="G323" t="s">
        <v>1096</v>
      </c>
      <c r="H323" t="s">
        <v>1084</v>
      </c>
      <c r="I323" t="s">
        <v>14</v>
      </c>
    </row>
    <row r="324" spans="1:9" x14ac:dyDescent="0.25">
      <c r="A324" t="str">
        <f t="shared" si="0"/>
        <v>0000000000</v>
      </c>
      <c r="B324" t="s">
        <v>1080</v>
      </c>
      <c r="C324" t="s">
        <v>1097</v>
      </c>
      <c r="D324" t="s">
        <v>11</v>
      </c>
      <c r="E324" t="s">
        <v>1082</v>
      </c>
      <c r="F324" t="s">
        <v>1082</v>
      </c>
      <c r="G324" t="s">
        <v>1098</v>
      </c>
      <c r="H324" t="s">
        <v>1084</v>
      </c>
      <c r="I324" t="s">
        <v>14</v>
      </c>
    </row>
    <row r="325" spans="1:9" x14ac:dyDescent="0.25">
      <c r="A325" t="str">
        <f>"8900985D2D"</f>
        <v>8900985D2D</v>
      </c>
      <c r="B325" t="s">
        <v>274</v>
      </c>
      <c r="C325" t="s">
        <v>1099</v>
      </c>
      <c r="D325" t="s">
        <v>11</v>
      </c>
      <c r="E325" t="s">
        <v>1100</v>
      </c>
      <c r="F325" t="s">
        <v>385</v>
      </c>
      <c r="G325" t="s">
        <v>1101</v>
      </c>
      <c r="H325" t="s">
        <v>1102</v>
      </c>
      <c r="I325" t="s">
        <v>1103</v>
      </c>
    </row>
    <row r="326" spans="1:9" x14ac:dyDescent="0.25">
      <c r="A326" t="str">
        <f>"9023135E8B"</f>
        <v>9023135E8B</v>
      </c>
      <c r="B326" t="s">
        <v>15</v>
      </c>
      <c r="C326" t="s">
        <v>1104</v>
      </c>
      <c r="D326" t="s">
        <v>17</v>
      </c>
      <c r="E326" t="s">
        <v>1105</v>
      </c>
      <c r="F326" t="s">
        <v>1105</v>
      </c>
      <c r="G326" t="s">
        <v>1106</v>
      </c>
      <c r="H326" t="s">
        <v>1084</v>
      </c>
      <c r="I326" t="s">
        <v>1106</v>
      </c>
    </row>
    <row r="327" spans="1:9" x14ac:dyDescent="0.25">
      <c r="A327" t="str">
        <f>"0000000000"</f>
        <v>0000000000</v>
      </c>
      <c r="B327" t="s">
        <v>1080</v>
      </c>
      <c r="C327" t="s">
        <v>1107</v>
      </c>
      <c r="D327" t="s">
        <v>11</v>
      </c>
      <c r="E327" t="s">
        <v>1108</v>
      </c>
      <c r="F327" t="s">
        <v>1108</v>
      </c>
      <c r="G327" t="s">
        <v>1109</v>
      </c>
      <c r="H327" t="s">
        <v>1084</v>
      </c>
      <c r="I327" t="s">
        <v>14</v>
      </c>
    </row>
    <row r="328" spans="1:9" x14ac:dyDescent="0.25">
      <c r="A328" t="str">
        <f>"0000000000"</f>
        <v>0000000000</v>
      </c>
      <c r="B328" t="s">
        <v>1080</v>
      </c>
      <c r="C328" t="s">
        <v>1110</v>
      </c>
      <c r="D328" t="s">
        <v>11</v>
      </c>
      <c r="E328" t="s">
        <v>1086</v>
      </c>
      <c r="F328" t="s">
        <v>1086</v>
      </c>
      <c r="G328" t="s">
        <v>1111</v>
      </c>
      <c r="H328" t="s">
        <v>1084</v>
      </c>
      <c r="I328" t="s">
        <v>14</v>
      </c>
    </row>
    <row r="329" spans="1:9" x14ac:dyDescent="0.25">
      <c r="A329" t="str">
        <f>"0000000000"</f>
        <v>0000000000</v>
      </c>
      <c r="B329" t="s">
        <v>1080</v>
      </c>
      <c r="C329" t="s">
        <v>1112</v>
      </c>
      <c r="D329" t="s">
        <v>11</v>
      </c>
      <c r="E329" t="s">
        <v>1108</v>
      </c>
      <c r="F329" t="s">
        <v>1108</v>
      </c>
      <c r="G329" t="s">
        <v>1113</v>
      </c>
      <c r="H329" t="s">
        <v>1084</v>
      </c>
      <c r="I329" t="s">
        <v>14</v>
      </c>
    </row>
    <row r="330" spans="1:9" x14ac:dyDescent="0.25">
      <c r="A330" t="str">
        <f>"0000000000"</f>
        <v>0000000000</v>
      </c>
      <c r="B330" t="s">
        <v>1080</v>
      </c>
      <c r="C330" t="s">
        <v>1114</v>
      </c>
      <c r="D330" t="s">
        <v>11</v>
      </c>
      <c r="E330" t="s">
        <v>1082</v>
      </c>
      <c r="F330" t="s">
        <v>1082</v>
      </c>
      <c r="G330" t="s">
        <v>1115</v>
      </c>
      <c r="H330" t="s">
        <v>1084</v>
      </c>
      <c r="I330" t="s">
        <v>14</v>
      </c>
    </row>
    <row r="331" spans="1:9" x14ac:dyDescent="0.25">
      <c r="A331" t="str">
        <f>"92645092AF"</f>
        <v>92645092AF</v>
      </c>
      <c r="B331" t="s">
        <v>15</v>
      </c>
      <c r="C331" t="s">
        <v>1116</v>
      </c>
      <c r="D331" t="s">
        <v>17</v>
      </c>
      <c r="E331" t="s">
        <v>1117</v>
      </c>
      <c r="F331" t="s">
        <v>1117</v>
      </c>
      <c r="G331" t="s">
        <v>1118</v>
      </c>
      <c r="H331" t="s">
        <v>1084</v>
      </c>
      <c r="I331" t="s">
        <v>14</v>
      </c>
    </row>
    <row r="332" spans="1:9" x14ac:dyDescent="0.25">
      <c r="A332" t="str">
        <f t="shared" ref="A332:A339" si="1">"0000000000"</f>
        <v>0000000000</v>
      </c>
      <c r="B332" t="s">
        <v>1080</v>
      </c>
      <c r="C332" t="s">
        <v>1119</v>
      </c>
      <c r="D332" t="s">
        <v>11</v>
      </c>
      <c r="E332" t="s">
        <v>1120</v>
      </c>
      <c r="F332" t="s">
        <v>1120</v>
      </c>
      <c r="G332" t="s">
        <v>1121</v>
      </c>
      <c r="H332" t="s">
        <v>1084</v>
      </c>
      <c r="I332" t="s">
        <v>14</v>
      </c>
    </row>
    <row r="333" spans="1:9" x14ac:dyDescent="0.25">
      <c r="A333" t="str">
        <f t="shared" si="1"/>
        <v>0000000000</v>
      </c>
      <c r="B333" t="s">
        <v>1080</v>
      </c>
      <c r="C333" t="s">
        <v>1122</v>
      </c>
      <c r="D333" t="s">
        <v>11</v>
      </c>
      <c r="E333" t="s">
        <v>1082</v>
      </c>
      <c r="F333" t="s">
        <v>1082</v>
      </c>
      <c r="G333" t="s">
        <v>1123</v>
      </c>
      <c r="H333" t="s">
        <v>1084</v>
      </c>
      <c r="I333" t="s">
        <v>14</v>
      </c>
    </row>
    <row r="334" spans="1:9" x14ac:dyDescent="0.25">
      <c r="A334" t="str">
        <f t="shared" si="1"/>
        <v>0000000000</v>
      </c>
      <c r="B334" t="s">
        <v>1080</v>
      </c>
      <c r="C334" t="s">
        <v>1124</v>
      </c>
      <c r="D334" t="s">
        <v>11</v>
      </c>
      <c r="E334" t="s">
        <v>1086</v>
      </c>
      <c r="F334" t="s">
        <v>1086</v>
      </c>
      <c r="G334" t="s">
        <v>1125</v>
      </c>
      <c r="H334" t="s">
        <v>1084</v>
      </c>
      <c r="I334" t="s">
        <v>14</v>
      </c>
    </row>
    <row r="335" spans="1:9" x14ac:dyDescent="0.25">
      <c r="A335" t="str">
        <f t="shared" si="1"/>
        <v>0000000000</v>
      </c>
      <c r="B335" t="s">
        <v>1080</v>
      </c>
      <c r="C335" t="s">
        <v>1126</v>
      </c>
      <c r="D335" t="s">
        <v>11</v>
      </c>
      <c r="E335" t="s">
        <v>1082</v>
      </c>
      <c r="F335" t="s">
        <v>1082</v>
      </c>
      <c r="G335" t="s">
        <v>1127</v>
      </c>
      <c r="H335" t="s">
        <v>1084</v>
      </c>
      <c r="I335" t="s">
        <v>14</v>
      </c>
    </row>
    <row r="336" spans="1:9" x14ac:dyDescent="0.25">
      <c r="A336" t="str">
        <f t="shared" si="1"/>
        <v>0000000000</v>
      </c>
      <c r="B336" t="s">
        <v>1080</v>
      </c>
      <c r="C336" t="s">
        <v>1128</v>
      </c>
      <c r="D336" t="s">
        <v>11</v>
      </c>
      <c r="E336" t="s">
        <v>1120</v>
      </c>
      <c r="F336" t="s">
        <v>1120</v>
      </c>
      <c r="G336" t="s">
        <v>1129</v>
      </c>
      <c r="H336" t="s">
        <v>1084</v>
      </c>
      <c r="I336" t="s">
        <v>14</v>
      </c>
    </row>
    <row r="337" spans="1:9" x14ac:dyDescent="0.25">
      <c r="A337" t="str">
        <f t="shared" si="1"/>
        <v>0000000000</v>
      </c>
      <c r="B337" t="s">
        <v>1080</v>
      </c>
      <c r="C337" t="s">
        <v>1130</v>
      </c>
      <c r="D337" t="s">
        <v>11</v>
      </c>
      <c r="E337" t="s">
        <v>1082</v>
      </c>
      <c r="F337" t="s">
        <v>1082</v>
      </c>
      <c r="G337" t="s">
        <v>1131</v>
      </c>
      <c r="H337" t="s">
        <v>1084</v>
      </c>
      <c r="I337" t="s">
        <v>14</v>
      </c>
    </row>
    <row r="338" spans="1:9" x14ac:dyDescent="0.25">
      <c r="A338" t="str">
        <f t="shared" si="1"/>
        <v>0000000000</v>
      </c>
      <c r="B338" t="s">
        <v>1080</v>
      </c>
      <c r="C338" t="s">
        <v>1132</v>
      </c>
      <c r="D338" t="s">
        <v>11</v>
      </c>
      <c r="E338" t="s">
        <v>1120</v>
      </c>
      <c r="F338" t="s">
        <v>1120</v>
      </c>
      <c r="G338" t="s">
        <v>1133</v>
      </c>
      <c r="H338" t="s">
        <v>1084</v>
      </c>
      <c r="I338" t="s">
        <v>14</v>
      </c>
    </row>
    <row r="339" spans="1:9" x14ac:dyDescent="0.25">
      <c r="A339" t="str">
        <f t="shared" si="1"/>
        <v>0000000000</v>
      </c>
      <c r="B339" t="s">
        <v>1080</v>
      </c>
      <c r="C339" t="s">
        <v>1134</v>
      </c>
      <c r="D339" t="s">
        <v>11</v>
      </c>
      <c r="E339" t="s">
        <v>1082</v>
      </c>
      <c r="F339" t="s">
        <v>1082</v>
      </c>
      <c r="G339" t="s">
        <v>1135</v>
      </c>
      <c r="H339" t="s">
        <v>1084</v>
      </c>
      <c r="I339" t="s">
        <v>14</v>
      </c>
    </row>
    <row r="340" spans="1:9" x14ac:dyDescent="0.25">
      <c r="A340" t="str">
        <f>"90191348D2"</f>
        <v>90191348D2</v>
      </c>
      <c r="B340" t="s">
        <v>15</v>
      </c>
      <c r="C340" t="s">
        <v>1136</v>
      </c>
      <c r="D340" t="s">
        <v>17</v>
      </c>
      <c r="E340" t="s">
        <v>1137</v>
      </c>
      <c r="F340" t="s">
        <v>1137</v>
      </c>
      <c r="G340" t="s">
        <v>1138</v>
      </c>
      <c r="H340" t="s">
        <v>1084</v>
      </c>
      <c r="I340" t="s">
        <v>1139</v>
      </c>
    </row>
    <row r="341" spans="1:9" x14ac:dyDescent="0.25">
      <c r="A341" t="str">
        <f t="shared" ref="A341:A346" si="2">"0000000000"</f>
        <v>0000000000</v>
      </c>
      <c r="B341" t="s">
        <v>1080</v>
      </c>
      <c r="C341" t="s">
        <v>1140</v>
      </c>
      <c r="D341" t="s">
        <v>11</v>
      </c>
      <c r="E341" t="s">
        <v>1141</v>
      </c>
      <c r="F341" t="s">
        <v>1141</v>
      </c>
      <c r="G341" t="s">
        <v>1142</v>
      </c>
      <c r="H341" t="s">
        <v>1084</v>
      </c>
      <c r="I341" t="s">
        <v>14</v>
      </c>
    </row>
    <row r="342" spans="1:9" x14ac:dyDescent="0.25">
      <c r="A342" t="str">
        <f t="shared" si="2"/>
        <v>0000000000</v>
      </c>
      <c r="B342" t="s">
        <v>1080</v>
      </c>
      <c r="C342" t="s">
        <v>1143</v>
      </c>
      <c r="D342" t="s">
        <v>11</v>
      </c>
      <c r="E342" t="s">
        <v>1108</v>
      </c>
      <c r="F342" t="s">
        <v>1108</v>
      </c>
      <c r="G342" t="s">
        <v>1144</v>
      </c>
      <c r="H342" t="s">
        <v>1084</v>
      </c>
      <c r="I342" t="s">
        <v>14</v>
      </c>
    </row>
    <row r="343" spans="1:9" x14ac:dyDescent="0.25">
      <c r="A343" t="str">
        <f t="shared" si="2"/>
        <v>0000000000</v>
      </c>
      <c r="B343" t="s">
        <v>1080</v>
      </c>
      <c r="C343" t="s">
        <v>1145</v>
      </c>
      <c r="D343" t="s">
        <v>11</v>
      </c>
      <c r="E343" t="s">
        <v>1146</v>
      </c>
      <c r="F343" t="s">
        <v>1146</v>
      </c>
      <c r="G343" t="s">
        <v>1147</v>
      </c>
      <c r="H343" t="s">
        <v>1084</v>
      </c>
      <c r="I343" t="s">
        <v>14</v>
      </c>
    </row>
    <row r="344" spans="1:9" x14ac:dyDescent="0.25">
      <c r="A344" t="str">
        <f t="shared" si="2"/>
        <v>0000000000</v>
      </c>
      <c r="B344" t="s">
        <v>1080</v>
      </c>
      <c r="C344" t="s">
        <v>1148</v>
      </c>
      <c r="D344" t="s">
        <v>11</v>
      </c>
      <c r="E344" t="s">
        <v>460</v>
      </c>
      <c r="F344" t="s">
        <v>460</v>
      </c>
      <c r="G344" t="s">
        <v>1149</v>
      </c>
      <c r="H344" t="s">
        <v>1084</v>
      </c>
      <c r="I344" t="s">
        <v>14</v>
      </c>
    </row>
    <row r="345" spans="1:9" x14ac:dyDescent="0.25">
      <c r="A345" t="str">
        <f t="shared" si="2"/>
        <v>0000000000</v>
      </c>
      <c r="B345" t="s">
        <v>1080</v>
      </c>
      <c r="C345" t="s">
        <v>1150</v>
      </c>
      <c r="D345" t="s">
        <v>11</v>
      </c>
      <c r="E345" t="s">
        <v>1082</v>
      </c>
      <c r="F345" t="s">
        <v>1082</v>
      </c>
      <c r="G345" t="s">
        <v>1151</v>
      </c>
      <c r="H345" t="s">
        <v>1084</v>
      </c>
      <c r="I345" t="s">
        <v>14</v>
      </c>
    </row>
    <row r="346" spans="1:9" x14ac:dyDescent="0.25">
      <c r="A346" t="str">
        <f t="shared" si="2"/>
        <v>0000000000</v>
      </c>
      <c r="B346" t="s">
        <v>1080</v>
      </c>
      <c r="C346" t="s">
        <v>1152</v>
      </c>
      <c r="D346" t="s">
        <v>11</v>
      </c>
      <c r="E346" t="s">
        <v>460</v>
      </c>
      <c r="F346" t="s">
        <v>460</v>
      </c>
      <c r="G346" t="s">
        <v>1153</v>
      </c>
      <c r="H346" t="s">
        <v>1084</v>
      </c>
      <c r="I346" t="s">
        <v>14</v>
      </c>
    </row>
    <row r="347" spans="1:9" x14ac:dyDescent="0.25">
      <c r="A347" t="str">
        <f>"904553539F"</f>
        <v>904553539F</v>
      </c>
      <c r="B347" t="s">
        <v>15</v>
      </c>
      <c r="C347" t="s">
        <v>1154</v>
      </c>
      <c r="D347" t="s">
        <v>17</v>
      </c>
      <c r="E347" t="s">
        <v>254</v>
      </c>
      <c r="F347" t="s">
        <v>254</v>
      </c>
      <c r="G347" t="s">
        <v>1155</v>
      </c>
      <c r="H347" t="s">
        <v>1084</v>
      </c>
      <c r="I347" t="s">
        <v>14</v>
      </c>
    </row>
    <row r="348" spans="1:9" x14ac:dyDescent="0.25">
      <c r="A348" t="str">
        <f t="shared" ref="A348:A363" si="3">"0000000000"</f>
        <v>0000000000</v>
      </c>
      <c r="B348" t="s">
        <v>1080</v>
      </c>
      <c r="C348" t="s">
        <v>1156</v>
      </c>
      <c r="D348" t="s">
        <v>11</v>
      </c>
      <c r="E348" t="s">
        <v>1157</v>
      </c>
      <c r="F348" t="s">
        <v>1157</v>
      </c>
      <c r="G348" t="s">
        <v>1158</v>
      </c>
      <c r="H348" t="s">
        <v>1084</v>
      </c>
      <c r="I348" t="s">
        <v>14</v>
      </c>
    </row>
    <row r="349" spans="1:9" x14ac:dyDescent="0.25">
      <c r="A349" t="str">
        <f t="shared" si="3"/>
        <v>0000000000</v>
      </c>
      <c r="B349" t="s">
        <v>1080</v>
      </c>
      <c r="C349" t="s">
        <v>1159</v>
      </c>
      <c r="D349" t="s">
        <v>11</v>
      </c>
      <c r="E349" t="s">
        <v>1157</v>
      </c>
      <c r="F349" t="s">
        <v>1157</v>
      </c>
      <c r="G349" t="s">
        <v>1158</v>
      </c>
      <c r="H349" t="s">
        <v>1084</v>
      </c>
      <c r="I349" t="s">
        <v>14</v>
      </c>
    </row>
    <row r="350" spans="1:9" x14ac:dyDescent="0.25">
      <c r="A350" t="str">
        <f t="shared" si="3"/>
        <v>0000000000</v>
      </c>
      <c r="B350" t="s">
        <v>1080</v>
      </c>
      <c r="C350" t="s">
        <v>1160</v>
      </c>
      <c r="D350" t="s">
        <v>11</v>
      </c>
      <c r="E350" t="s">
        <v>1082</v>
      </c>
      <c r="F350" t="s">
        <v>1082</v>
      </c>
      <c r="G350" t="s">
        <v>1161</v>
      </c>
      <c r="H350" t="s">
        <v>1084</v>
      </c>
      <c r="I350" t="s">
        <v>14</v>
      </c>
    </row>
    <row r="351" spans="1:9" x14ac:dyDescent="0.25">
      <c r="A351" t="str">
        <f t="shared" si="3"/>
        <v>0000000000</v>
      </c>
      <c r="B351" t="s">
        <v>1080</v>
      </c>
      <c r="C351" t="s">
        <v>1162</v>
      </c>
      <c r="D351" t="s">
        <v>11</v>
      </c>
      <c r="E351" t="s">
        <v>1086</v>
      </c>
      <c r="F351" t="s">
        <v>1086</v>
      </c>
      <c r="G351" t="s">
        <v>1163</v>
      </c>
      <c r="H351" t="s">
        <v>1084</v>
      </c>
      <c r="I351" t="s">
        <v>14</v>
      </c>
    </row>
    <row r="352" spans="1:9" x14ac:dyDescent="0.25">
      <c r="A352" t="str">
        <f t="shared" si="3"/>
        <v>0000000000</v>
      </c>
      <c r="B352" t="s">
        <v>1080</v>
      </c>
      <c r="C352" t="s">
        <v>1164</v>
      </c>
      <c r="D352" t="s">
        <v>11</v>
      </c>
      <c r="E352" t="s">
        <v>1165</v>
      </c>
      <c r="F352" t="s">
        <v>1165</v>
      </c>
      <c r="G352" t="s">
        <v>1166</v>
      </c>
      <c r="H352" t="s">
        <v>1084</v>
      </c>
      <c r="I352" t="s">
        <v>14</v>
      </c>
    </row>
    <row r="353" spans="1:9" x14ac:dyDescent="0.25">
      <c r="A353" t="str">
        <f t="shared" si="3"/>
        <v>0000000000</v>
      </c>
      <c r="B353" t="s">
        <v>1080</v>
      </c>
      <c r="C353" t="s">
        <v>1167</v>
      </c>
      <c r="D353" t="s">
        <v>11</v>
      </c>
      <c r="E353" t="s">
        <v>1086</v>
      </c>
      <c r="F353" t="s">
        <v>1086</v>
      </c>
      <c r="G353" t="s">
        <v>1168</v>
      </c>
      <c r="H353" t="s">
        <v>1084</v>
      </c>
      <c r="I353" t="s">
        <v>14</v>
      </c>
    </row>
    <row r="354" spans="1:9" x14ac:dyDescent="0.25">
      <c r="A354" t="str">
        <f t="shared" si="3"/>
        <v>0000000000</v>
      </c>
      <c r="B354" t="s">
        <v>1080</v>
      </c>
      <c r="C354" t="s">
        <v>1169</v>
      </c>
      <c r="D354" t="s">
        <v>11</v>
      </c>
      <c r="E354" t="s">
        <v>1082</v>
      </c>
      <c r="F354" t="s">
        <v>1082</v>
      </c>
      <c r="G354" t="s">
        <v>1170</v>
      </c>
      <c r="H354" t="s">
        <v>1084</v>
      </c>
      <c r="I354" t="s">
        <v>14</v>
      </c>
    </row>
    <row r="355" spans="1:9" x14ac:dyDescent="0.25">
      <c r="A355" t="str">
        <f t="shared" si="3"/>
        <v>0000000000</v>
      </c>
      <c r="B355" t="s">
        <v>1080</v>
      </c>
      <c r="C355" t="s">
        <v>1171</v>
      </c>
      <c r="D355" t="s">
        <v>11</v>
      </c>
      <c r="E355" t="s">
        <v>1082</v>
      </c>
      <c r="F355" t="s">
        <v>1082</v>
      </c>
      <c r="G355" t="s">
        <v>1172</v>
      </c>
      <c r="H355" t="s">
        <v>1084</v>
      </c>
      <c r="I355" t="s">
        <v>14</v>
      </c>
    </row>
    <row r="356" spans="1:9" x14ac:dyDescent="0.25">
      <c r="A356" t="str">
        <f t="shared" si="3"/>
        <v>0000000000</v>
      </c>
      <c r="B356" t="s">
        <v>1080</v>
      </c>
      <c r="C356" t="s">
        <v>1173</v>
      </c>
      <c r="D356" t="s">
        <v>11</v>
      </c>
      <c r="E356" t="s">
        <v>1174</v>
      </c>
      <c r="F356" t="s">
        <v>1174</v>
      </c>
      <c r="G356" t="s">
        <v>1175</v>
      </c>
      <c r="H356" t="s">
        <v>1084</v>
      </c>
      <c r="I356" t="s">
        <v>14</v>
      </c>
    </row>
    <row r="357" spans="1:9" x14ac:dyDescent="0.25">
      <c r="A357" t="str">
        <f t="shared" si="3"/>
        <v>0000000000</v>
      </c>
      <c r="B357" t="s">
        <v>1080</v>
      </c>
      <c r="C357" t="s">
        <v>1176</v>
      </c>
      <c r="D357" t="s">
        <v>11</v>
      </c>
      <c r="E357" t="s">
        <v>1082</v>
      </c>
      <c r="F357" t="s">
        <v>1082</v>
      </c>
      <c r="G357" t="s">
        <v>1151</v>
      </c>
      <c r="H357" t="s">
        <v>1084</v>
      </c>
      <c r="I357" t="s">
        <v>14</v>
      </c>
    </row>
    <row r="358" spans="1:9" x14ac:dyDescent="0.25">
      <c r="A358" t="str">
        <f t="shared" si="3"/>
        <v>0000000000</v>
      </c>
      <c r="B358" t="s">
        <v>1080</v>
      </c>
      <c r="C358" t="s">
        <v>1177</v>
      </c>
      <c r="D358" t="s">
        <v>11</v>
      </c>
      <c r="E358" t="s">
        <v>1082</v>
      </c>
      <c r="F358" t="s">
        <v>1082</v>
      </c>
      <c r="G358" t="s">
        <v>1172</v>
      </c>
      <c r="H358" t="s">
        <v>1084</v>
      </c>
      <c r="I358" t="s">
        <v>14</v>
      </c>
    </row>
    <row r="359" spans="1:9" x14ac:dyDescent="0.25">
      <c r="A359" t="str">
        <f t="shared" si="3"/>
        <v>0000000000</v>
      </c>
      <c r="B359" t="s">
        <v>1080</v>
      </c>
      <c r="C359" t="s">
        <v>1119</v>
      </c>
      <c r="D359" t="s">
        <v>11</v>
      </c>
      <c r="E359" t="s">
        <v>1178</v>
      </c>
      <c r="F359" t="s">
        <v>1178</v>
      </c>
      <c r="G359" t="s">
        <v>1179</v>
      </c>
      <c r="H359" t="s">
        <v>1084</v>
      </c>
      <c r="I359" t="s">
        <v>14</v>
      </c>
    </row>
    <row r="360" spans="1:9" x14ac:dyDescent="0.25">
      <c r="A360" t="str">
        <f t="shared" si="3"/>
        <v>0000000000</v>
      </c>
      <c r="B360" t="s">
        <v>1080</v>
      </c>
      <c r="C360" t="s">
        <v>1180</v>
      </c>
      <c r="D360" t="s">
        <v>11</v>
      </c>
      <c r="E360" t="s">
        <v>1181</v>
      </c>
      <c r="F360" t="s">
        <v>1181</v>
      </c>
      <c r="G360" t="s">
        <v>1182</v>
      </c>
      <c r="H360" t="s">
        <v>1084</v>
      </c>
      <c r="I360" t="s">
        <v>14</v>
      </c>
    </row>
    <row r="361" spans="1:9" x14ac:dyDescent="0.25">
      <c r="A361" t="str">
        <f t="shared" si="3"/>
        <v>0000000000</v>
      </c>
      <c r="B361" t="s">
        <v>1080</v>
      </c>
      <c r="C361" t="s">
        <v>1183</v>
      </c>
      <c r="D361" t="s">
        <v>11</v>
      </c>
      <c r="E361" t="s">
        <v>1108</v>
      </c>
      <c r="F361" t="s">
        <v>1108</v>
      </c>
      <c r="G361" t="s">
        <v>1184</v>
      </c>
      <c r="H361" t="s">
        <v>1084</v>
      </c>
      <c r="I361" t="s">
        <v>14</v>
      </c>
    </row>
    <row r="362" spans="1:9" x14ac:dyDescent="0.25">
      <c r="A362" t="str">
        <f t="shared" si="3"/>
        <v>0000000000</v>
      </c>
      <c r="B362" t="s">
        <v>1080</v>
      </c>
      <c r="C362" t="s">
        <v>1185</v>
      </c>
      <c r="D362" t="s">
        <v>11</v>
      </c>
      <c r="E362" t="s">
        <v>1082</v>
      </c>
      <c r="F362" t="s">
        <v>1082</v>
      </c>
      <c r="G362" t="s">
        <v>1186</v>
      </c>
      <c r="H362" t="s">
        <v>1084</v>
      </c>
      <c r="I362" t="s">
        <v>14</v>
      </c>
    </row>
    <row r="363" spans="1:9" x14ac:dyDescent="0.25">
      <c r="A363" t="str">
        <f t="shared" si="3"/>
        <v>0000000000</v>
      </c>
      <c r="B363" t="s">
        <v>1080</v>
      </c>
      <c r="C363" t="s">
        <v>1119</v>
      </c>
      <c r="D363" t="s">
        <v>11</v>
      </c>
      <c r="E363" t="s">
        <v>1120</v>
      </c>
      <c r="F363" t="s">
        <v>1120</v>
      </c>
      <c r="G363" t="s">
        <v>1187</v>
      </c>
      <c r="H363" t="s">
        <v>1084</v>
      </c>
      <c r="I363" t="s">
        <v>14</v>
      </c>
    </row>
    <row r="364" spans="1:9" x14ac:dyDescent="0.25">
      <c r="A364" t="str">
        <f>"9022534E95"</f>
        <v>9022534E95</v>
      </c>
      <c r="B364" t="s">
        <v>15</v>
      </c>
      <c r="C364" t="s">
        <v>1188</v>
      </c>
      <c r="D364" t="s">
        <v>17</v>
      </c>
      <c r="E364" t="s">
        <v>104</v>
      </c>
      <c r="F364" t="s">
        <v>104</v>
      </c>
      <c r="G364" t="s">
        <v>533</v>
      </c>
      <c r="H364" t="s">
        <v>1084</v>
      </c>
      <c r="I364" t="s">
        <v>533</v>
      </c>
    </row>
    <row r="365" spans="1:9" x14ac:dyDescent="0.25">
      <c r="A365" t="str">
        <f>"0000000000"</f>
        <v>0000000000</v>
      </c>
      <c r="B365" t="s">
        <v>1080</v>
      </c>
      <c r="C365" t="s">
        <v>1107</v>
      </c>
      <c r="D365" t="s">
        <v>11</v>
      </c>
      <c r="E365" t="s">
        <v>1108</v>
      </c>
      <c r="F365" t="s">
        <v>1108</v>
      </c>
      <c r="G365" t="s">
        <v>1189</v>
      </c>
      <c r="H365" t="s">
        <v>1084</v>
      </c>
      <c r="I365" t="s">
        <v>14</v>
      </c>
    </row>
    <row r="366" spans="1:9" x14ac:dyDescent="0.25">
      <c r="A366" t="str">
        <f>"0000000000"</f>
        <v>0000000000</v>
      </c>
      <c r="B366" t="s">
        <v>1080</v>
      </c>
      <c r="C366" t="s">
        <v>1107</v>
      </c>
      <c r="D366" t="s">
        <v>11</v>
      </c>
      <c r="E366" t="s">
        <v>1108</v>
      </c>
      <c r="F366" t="s">
        <v>1108</v>
      </c>
      <c r="G366" t="s">
        <v>1189</v>
      </c>
      <c r="H366" t="s">
        <v>1084</v>
      </c>
      <c r="I366" t="s">
        <v>14</v>
      </c>
    </row>
    <row r="367" spans="1:9" x14ac:dyDescent="0.25">
      <c r="A367" t="str">
        <f>"0000000000"</f>
        <v>0000000000</v>
      </c>
      <c r="B367" t="s">
        <v>1080</v>
      </c>
      <c r="C367" t="s">
        <v>1190</v>
      </c>
      <c r="D367" t="s">
        <v>11</v>
      </c>
      <c r="E367" t="s">
        <v>1191</v>
      </c>
      <c r="F367" t="s">
        <v>1191</v>
      </c>
      <c r="G367" t="s">
        <v>1192</v>
      </c>
      <c r="H367" t="s">
        <v>1084</v>
      </c>
      <c r="I367" t="s">
        <v>14</v>
      </c>
    </row>
    <row r="368" spans="1:9" x14ac:dyDescent="0.25">
      <c r="A368" t="str">
        <f>"0000000000"</f>
        <v>0000000000</v>
      </c>
      <c r="B368" t="s">
        <v>1080</v>
      </c>
      <c r="C368" t="s">
        <v>1091</v>
      </c>
      <c r="D368" t="s">
        <v>11</v>
      </c>
      <c r="E368" t="s">
        <v>1086</v>
      </c>
      <c r="F368" t="s">
        <v>1086</v>
      </c>
      <c r="G368" t="s">
        <v>1193</v>
      </c>
      <c r="H368" t="s">
        <v>1084</v>
      </c>
      <c r="I368" t="s">
        <v>14</v>
      </c>
    </row>
    <row r="369" spans="1:9" x14ac:dyDescent="0.25">
      <c r="A369" t="str">
        <f>"9022419FAE"</f>
        <v>9022419FAE</v>
      </c>
      <c r="B369" t="s">
        <v>15</v>
      </c>
      <c r="C369" t="s">
        <v>1194</v>
      </c>
      <c r="D369" t="s">
        <v>17</v>
      </c>
      <c r="E369" t="s">
        <v>887</v>
      </c>
      <c r="F369" t="s">
        <v>887</v>
      </c>
      <c r="G369" t="s">
        <v>1195</v>
      </c>
      <c r="H369" t="s">
        <v>1084</v>
      </c>
      <c r="I369" t="s">
        <v>1196</v>
      </c>
    </row>
    <row r="370" spans="1:9" x14ac:dyDescent="0.25">
      <c r="A370" t="str">
        <f>"0000000000"</f>
        <v>0000000000</v>
      </c>
      <c r="B370" t="s">
        <v>1080</v>
      </c>
      <c r="C370" t="s">
        <v>1197</v>
      </c>
      <c r="D370" t="s">
        <v>11</v>
      </c>
      <c r="E370" t="s">
        <v>1108</v>
      </c>
      <c r="F370" t="s">
        <v>1108</v>
      </c>
      <c r="G370" t="s">
        <v>1198</v>
      </c>
      <c r="H370" t="s">
        <v>1084</v>
      </c>
      <c r="I370" t="s">
        <v>14</v>
      </c>
    </row>
    <row r="371" spans="1:9" x14ac:dyDescent="0.25">
      <c r="A371" t="str">
        <f>"0000000000"</f>
        <v>0000000000</v>
      </c>
      <c r="B371" t="s">
        <v>1080</v>
      </c>
      <c r="C371" t="s">
        <v>1199</v>
      </c>
      <c r="D371" t="s">
        <v>11</v>
      </c>
      <c r="E371" t="s">
        <v>1082</v>
      </c>
      <c r="F371" t="s">
        <v>1082</v>
      </c>
      <c r="G371" t="s">
        <v>1200</v>
      </c>
      <c r="H371" t="s">
        <v>1084</v>
      </c>
      <c r="I371" t="s">
        <v>14</v>
      </c>
    </row>
    <row r="372" spans="1:9" x14ac:dyDescent="0.25">
      <c r="A372" t="str">
        <f>"0000000000"</f>
        <v>0000000000</v>
      </c>
      <c r="B372" t="s">
        <v>1080</v>
      </c>
      <c r="C372" t="s">
        <v>1201</v>
      </c>
      <c r="D372" t="s">
        <v>11</v>
      </c>
      <c r="E372" t="s">
        <v>1202</v>
      </c>
      <c r="F372" t="s">
        <v>1202</v>
      </c>
      <c r="G372" t="s">
        <v>1203</v>
      </c>
      <c r="H372" t="s">
        <v>1084</v>
      </c>
      <c r="I372" t="s">
        <v>14</v>
      </c>
    </row>
    <row r="373" spans="1:9" x14ac:dyDescent="0.25">
      <c r="A373" t="str">
        <f>"0000000000"</f>
        <v>0000000000</v>
      </c>
      <c r="B373" t="s">
        <v>1080</v>
      </c>
      <c r="C373" t="s">
        <v>1204</v>
      </c>
      <c r="D373" t="s">
        <v>11</v>
      </c>
      <c r="E373" t="s">
        <v>1178</v>
      </c>
      <c r="F373" t="s">
        <v>1178</v>
      </c>
      <c r="G373" t="s">
        <v>1205</v>
      </c>
      <c r="H373" t="s">
        <v>1084</v>
      </c>
      <c r="I373" t="s">
        <v>14</v>
      </c>
    </row>
    <row r="374" spans="1:9" x14ac:dyDescent="0.25">
      <c r="A374" t="str">
        <f>"9027382F47"</f>
        <v>9027382F47</v>
      </c>
      <c r="B374" t="s">
        <v>15</v>
      </c>
      <c r="C374" t="s">
        <v>1206</v>
      </c>
      <c r="D374" t="s">
        <v>11</v>
      </c>
      <c r="E374" t="s">
        <v>917</v>
      </c>
      <c r="F374" t="s">
        <v>917</v>
      </c>
      <c r="G374" t="s">
        <v>1207</v>
      </c>
      <c r="H374" t="s">
        <v>1208</v>
      </c>
      <c r="I374" t="s">
        <v>1209</v>
      </c>
    </row>
    <row r="375" spans="1:9" x14ac:dyDescent="0.25">
      <c r="A375" t="str">
        <f>"Z14348891A"</f>
        <v>Z14348891A</v>
      </c>
      <c r="B375" t="s">
        <v>30</v>
      </c>
      <c r="C375" t="s">
        <v>1210</v>
      </c>
      <c r="D375" t="s">
        <v>11</v>
      </c>
      <c r="E375" t="s">
        <v>226</v>
      </c>
      <c r="F375" t="s">
        <v>226</v>
      </c>
      <c r="G375" t="s">
        <v>1211</v>
      </c>
      <c r="H375" t="s">
        <v>1212</v>
      </c>
      <c r="I375" t="s">
        <v>1213</v>
      </c>
    </row>
    <row r="376" spans="1:9" x14ac:dyDescent="0.25">
      <c r="A376" t="str">
        <f>"Z0C34888E8"</f>
        <v>Z0C34888E8</v>
      </c>
      <c r="B376" t="s">
        <v>30</v>
      </c>
      <c r="C376" t="s">
        <v>1214</v>
      </c>
      <c r="D376" t="s">
        <v>11</v>
      </c>
      <c r="E376" t="s">
        <v>226</v>
      </c>
      <c r="F376" t="s">
        <v>226</v>
      </c>
      <c r="G376" t="s">
        <v>1215</v>
      </c>
      <c r="H376" t="s">
        <v>1216</v>
      </c>
      <c r="I376" t="s">
        <v>1217</v>
      </c>
    </row>
    <row r="377" spans="1:9" x14ac:dyDescent="0.25">
      <c r="A377" t="str">
        <f>"Z443481F67"</f>
        <v>Z443481F67</v>
      </c>
      <c r="B377" t="s">
        <v>30</v>
      </c>
      <c r="C377" t="s">
        <v>1218</v>
      </c>
      <c r="D377" t="s">
        <v>11</v>
      </c>
      <c r="E377" t="s">
        <v>226</v>
      </c>
      <c r="F377" t="s">
        <v>226</v>
      </c>
      <c r="G377" t="s">
        <v>1219</v>
      </c>
      <c r="H377" t="s">
        <v>1220</v>
      </c>
      <c r="I377" t="s">
        <v>1221</v>
      </c>
    </row>
    <row r="378" spans="1:9" x14ac:dyDescent="0.25">
      <c r="A378" t="str">
        <f>"ZCC34888B1"</f>
        <v>ZCC34888B1</v>
      </c>
      <c r="B378" t="s">
        <v>30</v>
      </c>
      <c r="C378" t="s">
        <v>1222</v>
      </c>
      <c r="D378" t="s">
        <v>11</v>
      </c>
      <c r="E378" t="s">
        <v>226</v>
      </c>
      <c r="F378" t="s">
        <v>226</v>
      </c>
      <c r="G378" t="s">
        <v>1223</v>
      </c>
      <c r="H378" t="s">
        <v>1224</v>
      </c>
      <c r="I378" t="s">
        <v>14</v>
      </c>
    </row>
    <row r="379" spans="1:9" x14ac:dyDescent="0.25">
      <c r="A379" t="str">
        <f>"Z7E3488842"</f>
        <v>Z7E3488842</v>
      </c>
      <c r="B379" t="s">
        <v>30</v>
      </c>
      <c r="C379" t="s">
        <v>1225</v>
      </c>
      <c r="D379" t="s">
        <v>11</v>
      </c>
      <c r="E379" t="s">
        <v>226</v>
      </c>
      <c r="F379" t="s">
        <v>226</v>
      </c>
      <c r="G379" t="s">
        <v>155</v>
      </c>
      <c r="H379" t="s">
        <v>1226</v>
      </c>
      <c r="I379" t="s">
        <v>1227</v>
      </c>
    </row>
    <row r="380" spans="1:9" x14ac:dyDescent="0.25">
      <c r="A380" t="str">
        <f>"88914776EF"</f>
        <v>88914776EF</v>
      </c>
      <c r="B380" t="s">
        <v>24</v>
      </c>
      <c r="C380" t="s">
        <v>1228</v>
      </c>
      <c r="D380" t="s">
        <v>17</v>
      </c>
      <c r="E380" t="s">
        <v>113</v>
      </c>
      <c r="F380" t="s">
        <v>113</v>
      </c>
      <c r="G380" t="s">
        <v>1229</v>
      </c>
      <c r="H380" t="s">
        <v>1230</v>
      </c>
      <c r="I380" t="s">
        <v>1231</v>
      </c>
    </row>
    <row r="381" spans="1:9" x14ac:dyDescent="0.25">
      <c r="A381" t="str">
        <f>"ZC6348880E"</f>
        <v>ZC6348880E</v>
      </c>
      <c r="B381" t="s">
        <v>30</v>
      </c>
      <c r="C381" t="s">
        <v>1232</v>
      </c>
      <c r="D381" t="s">
        <v>11</v>
      </c>
      <c r="E381" t="s">
        <v>226</v>
      </c>
      <c r="F381" t="s">
        <v>226</v>
      </c>
      <c r="G381" t="s">
        <v>1233</v>
      </c>
      <c r="H381" t="s">
        <v>1234</v>
      </c>
      <c r="I381" t="s">
        <v>1235</v>
      </c>
    </row>
    <row r="382" spans="1:9" x14ac:dyDescent="0.25">
      <c r="A382" t="str">
        <f>"Z493481DCF"</f>
        <v>Z493481DCF</v>
      </c>
      <c r="B382" t="s">
        <v>30</v>
      </c>
      <c r="C382" t="s">
        <v>1236</v>
      </c>
      <c r="D382" t="s">
        <v>11</v>
      </c>
      <c r="E382" t="s">
        <v>226</v>
      </c>
      <c r="F382" t="s">
        <v>226</v>
      </c>
      <c r="G382" t="s">
        <v>1237</v>
      </c>
      <c r="H382" t="s">
        <v>1238</v>
      </c>
      <c r="I382" t="s">
        <v>1239</v>
      </c>
    </row>
    <row r="383" spans="1:9" x14ac:dyDescent="0.25">
      <c r="A383" t="str">
        <f>"8942343EE0"</f>
        <v>8942343EE0</v>
      </c>
      <c r="B383" t="s">
        <v>15</v>
      </c>
      <c r="C383" t="s">
        <v>1240</v>
      </c>
      <c r="D383" t="s">
        <v>17</v>
      </c>
      <c r="H383" t="s">
        <v>1241</v>
      </c>
      <c r="I383" t="s">
        <v>1242</v>
      </c>
    </row>
    <row r="384" spans="1:9" x14ac:dyDescent="0.25">
      <c r="A384" t="str">
        <f>"Z2034BEE17"</f>
        <v>Z2034BEE17</v>
      </c>
      <c r="B384" t="s">
        <v>30</v>
      </c>
      <c r="C384" t="s">
        <v>1243</v>
      </c>
      <c r="D384" t="s">
        <v>11</v>
      </c>
      <c r="E384" t="s">
        <v>226</v>
      </c>
      <c r="F384" t="s">
        <v>226</v>
      </c>
      <c r="G384" t="s">
        <v>380</v>
      </c>
      <c r="H384" t="s">
        <v>1238</v>
      </c>
      <c r="I384" t="s">
        <v>1244</v>
      </c>
    </row>
    <row r="385" spans="1:9" x14ac:dyDescent="0.25">
      <c r="A385" t="str">
        <f>"88559522C8"</f>
        <v>88559522C8</v>
      </c>
      <c r="B385" t="s">
        <v>15</v>
      </c>
      <c r="C385" t="s">
        <v>1245</v>
      </c>
      <c r="D385" t="s">
        <v>11</v>
      </c>
      <c r="E385" t="s">
        <v>1246</v>
      </c>
      <c r="F385" t="s">
        <v>791</v>
      </c>
      <c r="G385" t="s">
        <v>1247</v>
      </c>
      <c r="H385" t="s">
        <v>1248</v>
      </c>
      <c r="I385" t="s">
        <v>1249</v>
      </c>
    </row>
    <row r="386" spans="1:9" x14ac:dyDescent="0.25">
      <c r="A386" t="str">
        <f>"8769776817"</f>
        <v>8769776817</v>
      </c>
      <c r="B386" t="s">
        <v>24</v>
      </c>
      <c r="C386" t="s">
        <v>1250</v>
      </c>
      <c r="D386" t="s">
        <v>26</v>
      </c>
      <c r="E386" t="s">
        <v>1251</v>
      </c>
      <c r="F386" t="s">
        <v>850</v>
      </c>
      <c r="G386" t="s">
        <v>1252</v>
      </c>
      <c r="H386" t="s">
        <v>1253</v>
      </c>
      <c r="I386" t="s">
        <v>1254</v>
      </c>
    </row>
    <row r="387" spans="1:9" x14ac:dyDescent="0.25">
      <c r="A387" t="str">
        <f>"Z7A3481E45"</f>
        <v>Z7A3481E45</v>
      </c>
      <c r="B387" t="s">
        <v>30</v>
      </c>
      <c r="C387" t="s">
        <v>1255</v>
      </c>
      <c r="D387" t="s">
        <v>11</v>
      </c>
      <c r="E387" t="s">
        <v>226</v>
      </c>
      <c r="F387" t="s">
        <v>226</v>
      </c>
      <c r="G387" t="s">
        <v>199</v>
      </c>
      <c r="H387" t="s">
        <v>1256</v>
      </c>
      <c r="I387" t="s">
        <v>1257</v>
      </c>
    </row>
    <row r="388" spans="1:9" x14ac:dyDescent="0.25">
      <c r="A388" t="str">
        <f>"Z053488414"</f>
        <v>Z053488414</v>
      </c>
      <c r="B388" t="s">
        <v>30</v>
      </c>
      <c r="C388" t="s">
        <v>1258</v>
      </c>
      <c r="D388" t="s">
        <v>11</v>
      </c>
      <c r="E388" t="s">
        <v>833</v>
      </c>
      <c r="F388" t="s">
        <v>833</v>
      </c>
      <c r="G388" t="s">
        <v>1259</v>
      </c>
      <c r="H388" t="s">
        <v>1260</v>
      </c>
      <c r="I388" t="s">
        <v>1261</v>
      </c>
    </row>
    <row r="389" spans="1:9" x14ac:dyDescent="0.25">
      <c r="A389" t="str">
        <f>"8919499B6A"</f>
        <v>8919499B6A</v>
      </c>
      <c r="B389" t="s">
        <v>15</v>
      </c>
      <c r="C389" t="s">
        <v>1262</v>
      </c>
      <c r="D389" t="s">
        <v>17</v>
      </c>
      <c r="E389" t="s">
        <v>1263</v>
      </c>
      <c r="F389" t="s">
        <v>186</v>
      </c>
      <c r="G389" t="s">
        <v>1264</v>
      </c>
      <c r="H389" t="s">
        <v>1265</v>
      </c>
      <c r="I389" t="s">
        <v>1266</v>
      </c>
    </row>
    <row r="390" spans="1:9" x14ac:dyDescent="0.25">
      <c r="A390" t="str">
        <f>"Z2434BEE30"</f>
        <v>Z2434BEE30</v>
      </c>
      <c r="B390" t="s">
        <v>30</v>
      </c>
      <c r="C390" t="s">
        <v>1267</v>
      </c>
      <c r="D390" t="s">
        <v>11</v>
      </c>
      <c r="E390" t="s">
        <v>226</v>
      </c>
      <c r="F390" t="s">
        <v>226</v>
      </c>
      <c r="G390" t="s">
        <v>1268</v>
      </c>
      <c r="H390" t="s">
        <v>1269</v>
      </c>
      <c r="I390" t="s">
        <v>1270</v>
      </c>
    </row>
    <row r="391" spans="1:9" x14ac:dyDescent="0.25">
      <c r="A391" t="str">
        <f>"Z1A34BED74"</f>
        <v>Z1A34BED74</v>
      </c>
      <c r="B391" t="s">
        <v>30</v>
      </c>
      <c r="C391" t="s">
        <v>1271</v>
      </c>
      <c r="D391" t="s">
        <v>11</v>
      </c>
      <c r="E391" t="s">
        <v>226</v>
      </c>
      <c r="F391" t="s">
        <v>226</v>
      </c>
      <c r="G391" t="s">
        <v>1272</v>
      </c>
      <c r="H391" t="s">
        <v>1273</v>
      </c>
      <c r="I391" t="s">
        <v>1274</v>
      </c>
    </row>
    <row r="392" spans="1:9" x14ac:dyDescent="0.25">
      <c r="A392" t="str">
        <f>"894930501E"</f>
        <v>894930501E</v>
      </c>
      <c r="B392" t="s">
        <v>15</v>
      </c>
      <c r="C392" t="s">
        <v>1275</v>
      </c>
      <c r="D392" t="s">
        <v>17</v>
      </c>
      <c r="E392" t="s">
        <v>19</v>
      </c>
      <c r="F392" t="s">
        <v>19</v>
      </c>
      <c r="G392" t="s">
        <v>1276</v>
      </c>
      <c r="H392" t="s">
        <v>1277</v>
      </c>
      <c r="I392" t="s">
        <v>1278</v>
      </c>
    </row>
    <row r="393" spans="1:9" x14ac:dyDescent="0.25">
      <c r="A393" t="str">
        <f>"Z6E34BEE86"</f>
        <v>Z6E34BEE86</v>
      </c>
      <c r="B393" t="s">
        <v>30</v>
      </c>
      <c r="C393" t="s">
        <v>1279</v>
      </c>
      <c r="D393" t="s">
        <v>11</v>
      </c>
      <c r="E393" t="s">
        <v>226</v>
      </c>
      <c r="F393" t="s">
        <v>226</v>
      </c>
      <c r="G393" t="s">
        <v>1280</v>
      </c>
      <c r="H393" t="s">
        <v>1281</v>
      </c>
      <c r="I393" t="s">
        <v>1282</v>
      </c>
    </row>
    <row r="394" spans="1:9" x14ac:dyDescent="0.25">
      <c r="A394" t="str">
        <f>"Z5E34BEC2C"</f>
        <v>Z5E34BEC2C</v>
      </c>
      <c r="B394" t="s">
        <v>30</v>
      </c>
      <c r="C394" t="s">
        <v>1283</v>
      </c>
      <c r="D394" t="s">
        <v>11</v>
      </c>
      <c r="E394" t="s">
        <v>226</v>
      </c>
      <c r="F394" t="s">
        <v>226</v>
      </c>
      <c r="G394" t="s">
        <v>1284</v>
      </c>
      <c r="H394" t="s">
        <v>1285</v>
      </c>
      <c r="I394" t="s">
        <v>1286</v>
      </c>
    </row>
    <row r="395" spans="1:9" x14ac:dyDescent="0.25">
      <c r="A395" t="str">
        <f>"ZDE34BEE51"</f>
        <v>ZDE34BEE51</v>
      </c>
      <c r="B395" t="s">
        <v>30</v>
      </c>
      <c r="C395" t="s">
        <v>1287</v>
      </c>
      <c r="D395" t="s">
        <v>11</v>
      </c>
      <c r="E395" t="s">
        <v>226</v>
      </c>
      <c r="F395" t="s">
        <v>226</v>
      </c>
      <c r="G395" t="s">
        <v>1288</v>
      </c>
      <c r="H395" t="s">
        <v>1289</v>
      </c>
      <c r="I395" t="s">
        <v>1290</v>
      </c>
    </row>
    <row r="396" spans="1:9" x14ac:dyDescent="0.25">
      <c r="A396" t="str">
        <f>"8963785D60"</f>
        <v>8963785D60</v>
      </c>
      <c r="B396" t="s">
        <v>9</v>
      </c>
      <c r="C396" t="s">
        <v>1291</v>
      </c>
      <c r="D396" t="s">
        <v>11</v>
      </c>
      <c r="E396" t="s">
        <v>1292</v>
      </c>
      <c r="F396" t="s">
        <v>1292</v>
      </c>
      <c r="G396" t="s">
        <v>1293</v>
      </c>
      <c r="H396" t="s">
        <v>1294</v>
      </c>
      <c r="I396" t="s">
        <v>1295</v>
      </c>
    </row>
    <row r="397" spans="1:9" x14ac:dyDescent="0.25">
      <c r="A397" t="str">
        <f>"Z7C34880DB"</f>
        <v>Z7C34880DB</v>
      </c>
      <c r="B397" t="s">
        <v>30</v>
      </c>
      <c r="C397" t="s">
        <v>1296</v>
      </c>
      <c r="D397" t="s">
        <v>11</v>
      </c>
      <c r="E397" t="s">
        <v>837</v>
      </c>
      <c r="F397" t="s">
        <v>837</v>
      </c>
      <c r="G397" t="s">
        <v>1297</v>
      </c>
      <c r="H397" t="s">
        <v>1298</v>
      </c>
      <c r="I397" t="s">
        <v>14</v>
      </c>
    </row>
    <row r="398" spans="1:9" x14ac:dyDescent="0.25">
      <c r="A398" t="str">
        <f>"892836825B"</f>
        <v>892836825B</v>
      </c>
      <c r="B398" t="s">
        <v>15</v>
      </c>
      <c r="C398" t="s">
        <v>1299</v>
      </c>
      <c r="D398" t="s">
        <v>11</v>
      </c>
      <c r="E398" t="s">
        <v>1300</v>
      </c>
      <c r="F398" t="s">
        <v>66</v>
      </c>
      <c r="G398" t="s">
        <v>1301</v>
      </c>
      <c r="H398" t="s">
        <v>1302</v>
      </c>
      <c r="I398" t="s">
        <v>1303</v>
      </c>
    </row>
    <row r="399" spans="1:9" x14ac:dyDescent="0.25">
      <c r="A399" t="str">
        <f>"8928340B3D"</f>
        <v>8928340B3D</v>
      </c>
      <c r="B399" t="s">
        <v>15</v>
      </c>
      <c r="C399" t="s">
        <v>1304</v>
      </c>
      <c r="D399" t="s">
        <v>11</v>
      </c>
      <c r="E399" t="s">
        <v>1305</v>
      </c>
      <c r="F399" t="s">
        <v>66</v>
      </c>
      <c r="G399" t="s">
        <v>1306</v>
      </c>
      <c r="H399" t="s">
        <v>1302</v>
      </c>
      <c r="I399" t="s">
        <v>1307</v>
      </c>
    </row>
    <row r="400" spans="1:9" x14ac:dyDescent="0.25">
      <c r="A400" t="str">
        <f>"892835579F"</f>
        <v>892835579F</v>
      </c>
      <c r="B400" t="s">
        <v>15</v>
      </c>
      <c r="C400" t="s">
        <v>1308</v>
      </c>
      <c r="D400" t="s">
        <v>11</v>
      </c>
      <c r="E400" t="s">
        <v>1305</v>
      </c>
      <c r="F400" t="s">
        <v>66</v>
      </c>
      <c r="G400" t="s">
        <v>1309</v>
      </c>
      <c r="H400" t="s">
        <v>1302</v>
      </c>
      <c r="I400" t="s">
        <v>1310</v>
      </c>
    </row>
    <row r="401" spans="1:9" x14ac:dyDescent="0.25">
      <c r="A401" t="str">
        <f>"8928363E37"</f>
        <v>8928363E37</v>
      </c>
      <c r="B401" t="s">
        <v>15</v>
      </c>
      <c r="C401" t="s">
        <v>1311</v>
      </c>
      <c r="D401" t="s">
        <v>11</v>
      </c>
      <c r="E401" t="s">
        <v>1312</v>
      </c>
      <c r="F401" t="s">
        <v>66</v>
      </c>
      <c r="G401" t="s">
        <v>1313</v>
      </c>
      <c r="H401" t="s">
        <v>1302</v>
      </c>
      <c r="I401" t="s">
        <v>1314</v>
      </c>
    </row>
    <row r="402" spans="1:9" x14ac:dyDescent="0.25">
      <c r="A402" t="str">
        <f>"89283481DA"</f>
        <v>89283481DA</v>
      </c>
      <c r="B402" t="s">
        <v>15</v>
      </c>
      <c r="C402" t="s">
        <v>1315</v>
      </c>
      <c r="D402" t="s">
        <v>11</v>
      </c>
      <c r="E402" t="s">
        <v>1305</v>
      </c>
      <c r="F402" t="s">
        <v>66</v>
      </c>
      <c r="G402" t="s">
        <v>1316</v>
      </c>
      <c r="H402" t="s">
        <v>1302</v>
      </c>
      <c r="I402" t="s">
        <v>1317</v>
      </c>
    </row>
    <row r="403" spans="1:9" x14ac:dyDescent="0.25">
      <c r="A403" t="str">
        <f>"8928359AEB"</f>
        <v>8928359AEB</v>
      </c>
      <c r="B403" t="s">
        <v>15</v>
      </c>
      <c r="C403" t="s">
        <v>1318</v>
      </c>
      <c r="D403" t="s">
        <v>11</v>
      </c>
      <c r="E403" t="s">
        <v>1305</v>
      </c>
      <c r="F403" t="s">
        <v>66</v>
      </c>
      <c r="G403" t="s">
        <v>1319</v>
      </c>
      <c r="H403" t="s">
        <v>1302</v>
      </c>
      <c r="I403" t="s">
        <v>1320</v>
      </c>
    </row>
    <row r="404" spans="1:9" x14ac:dyDescent="0.25">
      <c r="A404" t="str">
        <f>"ZB734885F9"</f>
        <v>ZB734885F9</v>
      </c>
      <c r="B404" t="s">
        <v>30</v>
      </c>
      <c r="C404" t="s">
        <v>1321</v>
      </c>
      <c r="D404" t="s">
        <v>11</v>
      </c>
      <c r="E404" t="s">
        <v>1322</v>
      </c>
      <c r="F404" t="s">
        <v>1322</v>
      </c>
      <c r="G404" t="s">
        <v>1323</v>
      </c>
      <c r="H404" t="s">
        <v>1324</v>
      </c>
      <c r="I404" t="s">
        <v>1325</v>
      </c>
    </row>
    <row r="405" spans="1:9" x14ac:dyDescent="0.25">
      <c r="A405" t="str">
        <f>"ZDD34BED11"</f>
        <v>ZDD34BED11</v>
      </c>
      <c r="B405" t="s">
        <v>30</v>
      </c>
      <c r="C405" t="s">
        <v>1326</v>
      </c>
      <c r="D405" t="s">
        <v>11</v>
      </c>
      <c r="E405" t="s">
        <v>226</v>
      </c>
      <c r="F405" t="s">
        <v>226</v>
      </c>
      <c r="G405" t="s">
        <v>1327</v>
      </c>
      <c r="H405" t="s">
        <v>1328</v>
      </c>
      <c r="I405" t="s">
        <v>1329</v>
      </c>
    </row>
    <row r="406" spans="1:9" x14ac:dyDescent="0.25">
      <c r="A406" t="str">
        <f>"8942477D75"</f>
        <v>8942477D75</v>
      </c>
      <c r="B406" t="s">
        <v>15</v>
      </c>
      <c r="C406" t="s">
        <v>1330</v>
      </c>
      <c r="D406" t="s">
        <v>11</v>
      </c>
      <c r="E406" t="s">
        <v>1331</v>
      </c>
      <c r="F406" t="s">
        <v>485</v>
      </c>
      <c r="G406" t="s">
        <v>1332</v>
      </c>
      <c r="H406" t="s">
        <v>1333</v>
      </c>
      <c r="I406" t="s">
        <v>1334</v>
      </c>
    </row>
    <row r="407" spans="1:9" x14ac:dyDescent="0.25">
      <c r="A407" t="str">
        <f>"8932850504"</f>
        <v>8932850504</v>
      </c>
      <c r="B407" t="s">
        <v>15</v>
      </c>
      <c r="C407" t="s">
        <v>1335</v>
      </c>
      <c r="D407" t="s">
        <v>11</v>
      </c>
      <c r="E407" t="s">
        <v>1336</v>
      </c>
      <c r="F407" t="s">
        <v>917</v>
      </c>
      <c r="G407" t="s">
        <v>1337</v>
      </c>
      <c r="H407" t="s">
        <v>1338</v>
      </c>
      <c r="I407" t="s">
        <v>1339</v>
      </c>
    </row>
    <row r="408" spans="1:9" x14ac:dyDescent="0.25">
      <c r="A408" t="str">
        <f>"Z0534BECB2"</f>
        <v>Z0534BECB2</v>
      </c>
      <c r="B408" t="s">
        <v>30</v>
      </c>
      <c r="C408" t="s">
        <v>1340</v>
      </c>
      <c r="D408" t="s">
        <v>11</v>
      </c>
      <c r="E408" t="s">
        <v>226</v>
      </c>
      <c r="F408" t="s">
        <v>226</v>
      </c>
      <c r="G408" t="s">
        <v>1341</v>
      </c>
      <c r="H408" t="s">
        <v>1342</v>
      </c>
      <c r="I408" t="s">
        <v>1343</v>
      </c>
    </row>
    <row r="409" spans="1:9" x14ac:dyDescent="0.25">
      <c r="A409" t="str">
        <f>"Z0D34BEDDF"</f>
        <v>Z0D34BEDDF</v>
      </c>
      <c r="B409" t="s">
        <v>30</v>
      </c>
      <c r="C409" t="s">
        <v>1344</v>
      </c>
      <c r="D409" t="s">
        <v>11</v>
      </c>
      <c r="E409" t="s">
        <v>226</v>
      </c>
      <c r="F409" t="s">
        <v>226</v>
      </c>
      <c r="G409" t="s">
        <v>1345</v>
      </c>
      <c r="H409" t="s">
        <v>1346</v>
      </c>
      <c r="I409" t="s">
        <v>1347</v>
      </c>
    </row>
    <row r="410" spans="1:9" x14ac:dyDescent="0.25">
      <c r="A410" t="str">
        <f>"8770964C74"</f>
        <v>8770964C74</v>
      </c>
      <c r="B410" t="s">
        <v>24</v>
      </c>
      <c r="C410" t="s">
        <v>1348</v>
      </c>
      <c r="D410" t="s">
        <v>26</v>
      </c>
      <c r="E410" t="s">
        <v>1349</v>
      </c>
      <c r="F410" t="s">
        <v>850</v>
      </c>
      <c r="G410" t="s">
        <v>1350</v>
      </c>
      <c r="H410" t="s">
        <v>1351</v>
      </c>
      <c r="I410" t="s">
        <v>1352</v>
      </c>
    </row>
    <row r="411" spans="1:9" x14ac:dyDescent="0.25">
      <c r="A411" t="str">
        <f>"8965649F98"</f>
        <v>8965649F98</v>
      </c>
      <c r="B411" t="s">
        <v>15</v>
      </c>
      <c r="C411" t="s">
        <v>1353</v>
      </c>
      <c r="D411" t="s">
        <v>11</v>
      </c>
      <c r="E411" t="s">
        <v>1354</v>
      </c>
      <c r="F411" t="s">
        <v>1354</v>
      </c>
      <c r="G411" t="s">
        <v>1355</v>
      </c>
      <c r="H411" t="s">
        <v>1356</v>
      </c>
      <c r="I411" t="s">
        <v>1357</v>
      </c>
    </row>
    <row r="412" spans="1:9" x14ac:dyDescent="0.25">
      <c r="A412" t="str">
        <f>"ZF334BF109"</f>
        <v>ZF334BF109</v>
      </c>
      <c r="B412" t="s">
        <v>30</v>
      </c>
      <c r="C412" t="s">
        <v>1358</v>
      </c>
      <c r="D412" t="s">
        <v>11</v>
      </c>
      <c r="E412" t="s">
        <v>837</v>
      </c>
      <c r="F412" t="s">
        <v>837</v>
      </c>
      <c r="G412" t="s">
        <v>1359</v>
      </c>
      <c r="H412" t="s">
        <v>1360</v>
      </c>
      <c r="I412" t="s">
        <v>1361</v>
      </c>
    </row>
    <row r="413" spans="1:9" x14ac:dyDescent="0.25">
      <c r="A413" t="str">
        <f>"Z3C3488337"</f>
        <v>Z3C3488337</v>
      </c>
      <c r="B413" t="s">
        <v>30</v>
      </c>
      <c r="C413" t="s">
        <v>1362</v>
      </c>
      <c r="D413" t="s">
        <v>11</v>
      </c>
      <c r="E413" t="s">
        <v>833</v>
      </c>
      <c r="F413" t="s">
        <v>833</v>
      </c>
      <c r="G413" t="s">
        <v>1363</v>
      </c>
      <c r="H413" t="s">
        <v>1364</v>
      </c>
      <c r="I413" t="s">
        <v>1365</v>
      </c>
    </row>
    <row r="414" spans="1:9" x14ac:dyDescent="0.25">
      <c r="A414" t="str">
        <f>"Z4434BEDFD"</f>
        <v>Z4434BEDFD</v>
      </c>
      <c r="B414" t="s">
        <v>30</v>
      </c>
      <c r="C414" t="s">
        <v>1366</v>
      </c>
      <c r="D414" t="s">
        <v>11</v>
      </c>
      <c r="E414" t="s">
        <v>226</v>
      </c>
      <c r="F414" t="s">
        <v>226</v>
      </c>
      <c r="G414" t="s">
        <v>1219</v>
      </c>
      <c r="H414" t="s">
        <v>1367</v>
      </c>
      <c r="I414" t="s">
        <v>1221</v>
      </c>
    </row>
    <row r="415" spans="1:9" x14ac:dyDescent="0.25">
      <c r="A415" t="str">
        <f>"Z9E348851E"</f>
        <v>Z9E348851E</v>
      </c>
      <c r="B415" t="s">
        <v>30</v>
      </c>
      <c r="C415" t="s">
        <v>1368</v>
      </c>
      <c r="D415" t="s">
        <v>11</v>
      </c>
      <c r="E415" t="s">
        <v>837</v>
      </c>
      <c r="F415" t="s">
        <v>837</v>
      </c>
      <c r="G415" t="s">
        <v>1369</v>
      </c>
      <c r="H415" t="s">
        <v>1370</v>
      </c>
      <c r="I415" t="s">
        <v>1371</v>
      </c>
    </row>
    <row r="416" spans="1:9" x14ac:dyDescent="0.25">
      <c r="A416" t="str">
        <f>"Z2D34BEDAC"</f>
        <v>Z2D34BEDAC</v>
      </c>
      <c r="B416" t="s">
        <v>30</v>
      </c>
      <c r="C416" t="s">
        <v>1372</v>
      </c>
      <c r="D416" t="s">
        <v>11</v>
      </c>
      <c r="E416" t="s">
        <v>226</v>
      </c>
      <c r="F416" t="s">
        <v>226</v>
      </c>
      <c r="G416" t="s">
        <v>1373</v>
      </c>
      <c r="H416" t="s">
        <v>1374</v>
      </c>
      <c r="I416" t="s">
        <v>1375</v>
      </c>
    </row>
    <row r="417" spans="1:9" x14ac:dyDescent="0.25">
      <c r="A417" t="str">
        <f>"Z0333A4FF6"</f>
        <v>Z0333A4FF6</v>
      </c>
      <c r="B417" t="s">
        <v>30</v>
      </c>
      <c r="C417" t="s">
        <v>1376</v>
      </c>
      <c r="D417" t="s">
        <v>11</v>
      </c>
      <c r="E417" t="s">
        <v>226</v>
      </c>
      <c r="F417" t="s">
        <v>226</v>
      </c>
      <c r="G417" t="s">
        <v>1377</v>
      </c>
      <c r="H417" t="s">
        <v>1378</v>
      </c>
      <c r="I417" t="s">
        <v>1377</v>
      </c>
    </row>
    <row r="418" spans="1:9" x14ac:dyDescent="0.25">
      <c r="A418" t="str">
        <f>"8953391BFA"</f>
        <v>8953391BFA</v>
      </c>
      <c r="B418" t="s">
        <v>15</v>
      </c>
      <c r="C418" t="s">
        <v>1379</v>
      </c>
      <c r="D418" t="s">
        <v>11</v>
      </c>
      <c r="E418" t="s">
        <v>1380</v>
      </c>
      <c r="F418" t="s">
        <v>1380</v>
      </c>
      <c r="G418" t="s">
        <v>1381</v>
      </c>
      <c r="H418" t="s">
        <v>1382</v>
      </c>
      <c r="I418" t="s">
        <v>1383</v>
      </c>
    </row>
    <row r="419" spans="1:9" x14ac:dyDescent="0.25">
      <c r="A419" t="str">
        <f>"ZC534C1F77"</f>
        <v>ZC534C1F77</v>
      </c>
      <c r="B419" t="s">
        <v>30</v>
      </c>
      <c r="C419" t="s">
        <v>1384</v>
      </c>
      <c r="D419" t="s">
        <v>11</v>
      </c>
      <c r="E419" t="s">
        <v>837</v>
      </c>
      <c r="F419" t="s">
        <v>837</v>
      </c>
      <c r="G419" t="s">
        <v>1385</v>
      </c>
      <c r="H419" t="s">
        <v>1382</v>
      </c>
      <c r="I419" t="s">
        <v>1386</v>
      </c>
    </row>
    <row r="420" spans="1:9" x14ac:dyDescent="0.25">
      <c r="A420" t="str">
        <f>"8863585DB8"</f>
        <v>8863585DB8</v>
      </c>
      <c r="B420" t="s">
        <v>15</v>
      </c>
      <c r="C420" t="s">
        <v>1387</v>
      </c>
      <c r="D420" t="s">
        <v>11</v>
      </c>
      <c r="E420" t="s">
        <v>1388</v>
      </c>
      <c r="F420" t="s">
        <v>359</v>
      </c>
      <c r="G420" t="s">
        <v>1389</v>
      </c>
      <c r="H420" t="s">
        <v>1390</v>
      </c>
      <c r="I420" t="s">
        <v>1391</v>
      </c>
    </row>
    <row r="421" spans="1:9" x14ac:dyDescent="0.25">
      <c r="A421" t="str">
        <f>"Z4A33A4F7D"</f>
        <v>Z4A33A4F7D</v>
      </c>
      <c r="B421" t="s">
        <v>30</v>
      </c>
      <c r="C421" t="s">
        <v>1392</v>
      </c>
      <c r="D421" t="s">
        <v>11</v>
      </c>
      <c r="E421" t="s">
        <v>226</v>
      </c>
      <c r="F421" t="s">
        <v>226</v>
      </c>
      <c r="G421" t="s">
        <v>1393</v>
      </c>
      <c r="H421" t="s">
        <v>1382</v>
      </c>
      <c r="I421" t="s">
        <v>1393</v>
      </c>
    </row>
    <row r="422" spans="1:9" x14ac:dyDescent="0.25">
      <c r="A422" t="str">
        <f>"8863580999"</f>
        <v>8863580999</v>
      </c>
      <c r="B422" t="s">
        <v>15</v>
      </c>
      <c r="C422" t="s">
        <v>1394</v>
      </c>
      <c r="D422" t="s">
        <v>11</v>
      </c>
      <c r="E422" t="s">
        <v>1395</v>
      </c>
      <c r="F422" t="s">
        <v>359</v>
      </c>
      <c r="G422" t="s">
        <v>1396</v>
      </c>
      <c r="H422" t="s">
        <v>1397</v>
      </c>
      <c r="I422" t="s">
        <v>1398</v>
      </c>
    </row>
    <row r="423" spans="1:9" x14ac:dyDescent="0.25">
      <c r="A423" t="str">
        <f>"ZE0342FC7B"</f>
        <v>ZE0342FC7B</v>
      </c>
      <c r="B423" t="s">
        <v>30</v>
      </c>
      <c r="C423" t="s">
        <v>1399</v>
      </c>
      <c r="D423" t="s">
        <v>11</v>
      </c>
      <c r="E423" t="s">
        <v>1400</v>
      </c>
      <c r="F423" t="s">
        <v>1400</v>
      </c>
      <c r="G423" t="s">
        <v>1401</v>
      </c>
      <c r="H423" t="s">
        <v>1402</v>
      </c>
      <c r="I423" t="s">
        <v>1403</v>
      </c>
    </row>
    <row r="424" spans="1:9" x14ac:dyDescent="0.25">
      <c r="A424" t="str">
        <f>"ZAB33A4D33"</f>
        <v>ZAB33A4D33</v>
      </c>
      <c r="B424" t="s">
        <v>30</v>
      </c>
      <c r="C424" t="s">
        <v>1404</v>
      </c>
      <c r="D424" t="s">
        <v>11</v>
      </c>
      <c r="E424" t="s">
        <v>226</v>
      </c>
      <c r="F424" t="s">
        <v>226</v>
      </c>
      <c r="G424" t="s">
        <v>1405</v>
      </c>
      <c r="H424" t="s">
        <v>1406</v>
      </c>
      <c r="I424" t="s">
        <v>1405</v>
      </c>
    </row>
    <row r="425" spans="1:9" x14ac:dyDescent="0.25">
      <c r="A425" t="str">
        <f>"8769977DF4"</f>
        <v>8769977DF4</v>
      </c>
      <c r="B425" t="s">
        <v>24</v>
      </c>
      <c r="C425" t="s">
        <v>1407</v>
      </c>
      <c r="D425" t="s">
        <v>26</v>
      </c>
      <c r="E425" t="s">
        <v>1349</v>
      </c>
      <c r="F425" t="s">
        <v>63</v>
      </c>
      <c r="G425" t="s">
        <v>1408</v>
      </c>
      <c r="H425" t="s">
        <v>1409</v>
      </c>
      <c r="I425" t="s">
        <v>1410</v>
      </c>
    </row>
    <row r="426" spans="1:9" x14ac:dyDescent="0.25">
      <c r="A426" t="str">
        <f>"8863572301"</f>
        <v>8863572301</v>
      </c>
      <c r="B426" t="s">
        <v>15</v>
      </c>
      <c r="C426" t="s">
        <v>1411</v>
      </c>
      <c r="D426" t="s">
        <v>11</v>
      </c>
      <c r="E426" t="s">
        <v>1412</v>
      </c>
      <c r="F426" t="s">
        <v>359</v>
      </c>
      <c r="G426" t="s">
        <v>1413</v>
      </c>
      <c r="H426" t="s">
        <v>1414</v>
      </c>
      <c r="I426" t="s">
        <v>1415</v>
      </c>
    </row>
    <row r="427" spans="1:9" x14ac:dyDescent="0.25">
      <c r="A427" t="str">
        <f>"Z9133A4F04"</f>
        <v>Z9133A4F04</v>
      </c>
      <c r="B427" t="s">
        <v>30</v>
      </c>
      <c r="C427" t="s">
        <v>1416</v>
      </c>
      <c r="D427" t="s">
        <v>11</v>
      </c>
      <c r="E427" t="s">
        <v>226</v>
      </c>
      <c r="F427" t="s">
        <v>226</v>
      </c>
      <c r="G427" t="s">
        <v>1417</v>
      </c>
      <c r="H427" t="s">
        <v>1406</v>
      </c>
      <c r="I427" t="s">
        <v>1417</v>
      </c>
    </row>
    <row r="428" spans="1:9" x14ac:dyDescent="0.25">
      <c r="A428" t="str">
        <f>"ZF4342FBFD"</f>
        <v>ZF4342FBFD</v>
      </c>
      <c r="B428" t="s">
        <v>30</v>
      </c>
      <c r="C428" t="s">
        <v>1418</v>
      </c>
      <c r="D428" t="s">
        <v>11</v>
      </c>
      <c r="E428" t="s">
        <v>1400</v>
      </c>
      <c r="F428" t="s">
        <v>1400</v>
      </c>
      <c r="G428" t="s">
        <v>1419</v>
      </c>
      <c r="H428" t="s">
        <v>1420</v>
      </c>
      <c r="I428" t="s">
        <v>1421</v>
      </c>
    </row>
    <row r="429" spans="1:9" x14ac:dyDescent="0.25">
      <c r="A429" t="str">
        <f>"8769937CF2"</f>
        <v>8769937CF2</v>
      </c>
      <c r="B429" t="s">
        <v>24</v>
      </c>
      <c r="C429" t="s">
        <v>1422</v>
      </c>
      <c r="D429" t="s">
        <v>26</v>
      </c>
      <c r="E429" t="s">
        <v>1423</v>
      </c>
      <c r="F429" t="s">
        <v>63</v>
      </c>
      <c r="G429" t="s">
        <v>1424</v>
      </c>
      <c r="H429" t="s">
        <v>1425</v>
      </c>
      <c r="I429" t="s">
        <v>1426</v>
      </c>
    </row>
    <row r="430" spans="1:9" x14ac:dyDescent="0.25">
      <c r="A430" t="str">
        <f>"87699664E3"</f>
        <v>87699664E3</v>
      </c>
      <c r="B430" t="s">
        <v>24</v>
      </c>
      <c r="C430" t="s">
        <v>1427</v>
      </c>
      <c r="D430" t="s">
        <v>26</v>
      </c>
      <c r="E430" t="s">
        <v>1428</v>
      </c>
      <c r="F430" t="s">
        <v>850</v>
      </c>
      <c r="G430" t="s">
        <v>1429</v>
      </c>
      <c r="H430" t="s">
        <v>1430</v>
      </c>
      <c r="I430" t="s">
        <v>1431</v>
      </c>
    </row>
    <row r="431" spans="1:9" x14ac:dyDescent="0.25">
      <c r="A431" t="str">
        <f>"8769854875"</f>
        <v>8769854875</v>
      </c>
      <c r="B431" t="s">
        <v>24</v>
      </c>
      <c r="C431" t="s">
        <v>1432</v>
      </c>
      <c r="D431" t="s">
        <v>26</v>
      </c>
      <c r="E431" t="s">
        <v>1433</v>
      </c>
      <c r="F431" t="s">
        <v>850</v>
      </c>
      <c r="G431" t="s">
        <v>1434</v>
      </c>
      <c r="H431" t="s">
        <v>1430</v>
      </c>
      <c r="I431" t="s">
        <v>1435</v>
      </c>
    </row>
    <row r="432" spans="1:9" x14ac:dyDescent="0.25">
      <c r="A432" t="str">
        <f>"8769673319"</f>
        <v>8769673319</v>
      </c>
      <c r="B432" t="s">
        <v>24</v>
      </c>
      <c r="C432" t="s">
        <v>1436</v>
      </c>
      <c r="D432" t="s">
        <v>26</v>
      </c>
      <c r="E432" t="s">
        <v>1437</v>
      </c>
      <c r="F432" t="s">
        <v>850</v>
      </c>
      <c r="G432" t="s">
        <v>1438</v>
      </c>
      <c r="H432" t="s">
        <v>1430</v>
      </c>
      <c r="I432" t="s">
        <v>1439</v>
      </c>
    </row>
    <row r="433" spans="1:9" x14ac:dyDescent="0.25">
      <c r="A433" t="str">
        <f>"87698873B2"</f>
        <v>87698873B2</v>
      </c>
      <c r="B433" t="s">
        <v>24</v>
      </c>
      <c r="C433" t="s">
        <v>1440</v>
      </c>
      <c r="D433" t="s">
        <v>26</v>
      </c>
      <c r="E433" t="s">
        <v>1441</v>
      </c>
      <c r="F433" t="s">
        <v>1442</v>
      </c>
      <c r="G433" t="s">
        <v>1443</v>
      </c>
      <c r="H433" t="s">
        <v>1430</v>
      </c>
      <c r="I433" t="s">
        <v>1444</v>
      </c>
    </row>
    <row r="434" spans="1:9" x14ac:dyDescent="0.25">
      <c r="A434" t="str">
        <f>"8769917C71"</f>
        <v>8769917C71</v>
      </c>
      <c r="B434" t="s">
        <v>24</v>
      </c>
      <c r="C434" t="s">
        <v>1445</v>
      </c>
      <c r="D434" t="s">
        <v>26</v>
      </c>
      <c r="E434" t="s">
        <v>1446</v>
      </c>
      <c r="F434" t="s">
        <v>850</v>
      </c>
      <c r="G434" t="s">
        <v>1447</v>
      </c>
      <c r="H434" t="s">
        <v>1430</v>
      </c>
      <c r="I434" t="s">
        <v>1448</v>
      </c>
    </row>
    <row r="435" spans="1:9" x14ac:dyDescent="0.25">
      <c r="A435" t="str">
        <f>"8769625B7A"</f>
        <v>8769625B7A</v>
      </c>
      <c r="B435" t="s">
        <v>24</v>
      </c>
      <c r="C435" t="s">
        <v>1449</v>
      </c>
      <c r="D435" t="s">
        <v>26</v>
      </c>
      <c r="E435" t="s">
        <v>1450</v>
      </c>
      <c r="F435" t="s">
        <v>63</v>
      </c>
      <c r="G435" t="s">
        <v>1451</v>
      </c>
      <c r="H435" t="s">
        <v>1430</v>
      </c>
      <c r="I435" t="s">
        <v>1452</v>
      </c>
    </row>
    <row r="436" spans="1:9" x14ac:dyDescent="0.25">
      <c r="A436" t="str">
        <f>"Z0333A4E00"</f>
        <v>Z0333A4E00</v>
      </c>
      <c r="B436" t="s">
        <v>30</v>
      </c>
      <c r="C436" t="s">
        <v>1453</v>
      </c>
      <c r="D436" t="s">
        <v>11</v>
      </c>
      <c r="E436" t="s">
        <v>226</v>
      </c>
      <c r="F436" t="s">
        <v>226</v>
      </c>
      <c r="G436" t="s">
        <v>1454</v>
      </c>
      <c r="H436" t="s">
        <v>1455</v>
      </c>
      <c r="I436" t="s">
        <v>1454</v>
      </c>
    </row>
    <row r="437" spans="1:9" x14ac:dyDescent="0.25">
      <c r="A437" t="str">
        <f>"Z8933A4BE1"</f>
        <v>Z8933A4BE1</v>
      </c>
      <c r="B437" t="s">
        <v>30</v>
      </c>
      <c r="C437" t="s">
        <v>1456</v>
      </c>
      <c r="D437" t="s">
        <v>11</v>
      </c>
      <c r="E437" t="s">
        <v>226</v>
      </c>
      <c r="F437" t="s">
        <v>226</v>
      </c>
      <c r="G437" t="s">
        <v>1405</v>
      </c>
      <c r="H437" t="s">
        <v>1455</v>
      </c>
      <c r="I437" t="s">
        <v>1405</v>
      </c>
    </row>
    <row r="438" spans="1:9" x14ac:dyDescent="0.25">
      <c r="A438" t="str">
        <f>"8863604D66"</f>
        <v>8863604D66</v>
      </c>
      <c r="B438" t="s">
        <v>15</v>
      </c>
      <c r="C438" t="s">
        <v>1457</v>
      </c>
      <c r="D438" t="s">
        <v>11</v>
      </c>
      <c r="E438" t="s">
        <v>1458</v>
      </c>
      <c r="F438" t="s">
        <v>359</v>
      </c>
      <c r="G438" t="s">
        <v>1459</v>
      </c>
      <c r="H438" t="s">
        <v>1460</v>
      </c>
      <c r="I438" t="s">
        <v>1461</v>
      </c>
    </row>
    <row r="439" spans="1:9" x14ac:dyDescent="0.25">
      <c r="A439" t="str">
        <f>"ZAC33A4D78"</f>
        <v>ZAC33A4D78</v>
      </c>
      <c r="B439" t="s">
        <v>30</v>
      </c>
      <c r="C439" t="s">
        <v>1462</v>
      </c>
      <c r="D439" t="s">
        <v>11</v>
      </c>
      <c r="E439" t="s">
        <v>226</v>
      </c>
      <c r="F439" t="s">
        <v>226</v>
      </c>
      <c r="G439" t="s">
        <v>1345</v>
      </c>
      <c r="H439" t="s">
        <v>1455</v>
      </c>
      <c r="I439" t="s">
        <v>1345</v>
      </c>
    </row>
    <row r="440" spans="1:9" x14ac:dyDescent="0.25">
      <c r="A440" t="str">
        <f>"88466896B5"</f>
        <v>88466896B5</v>
      </c>
      <c r="B440" t="s">
        <v>15</v>
      </c>
      <c r="C440" t="s">
        <v>1463</v>
      </c>
      <c r="D440" t="s">
        <v>11</v>
      </c>
      <c r="E440" t="s">
        <v>1464</v>
      </c>
      <c r="F440" t="s">
        <v>177</v>
      </c>
      <c r="G440" t="s">
        <v>1465</v>
      </c>
      <c r="H440" t="s">
        <v>1466</v>
      </c>
      <c r="I440" t="s">
        <v>1467</v>
      </c>
    </row>
    <row r="441" spans="1:9" x14ac:dyDescent="0.25">
      <c r="A441" t="str">
        <f>"8846642FE9"</f>
        <v>8846642FE9</v>
      </c>
      <c r="B441" t="s">
        <v>15</v>
      </c>
      <c r="C441" t="s">
        <v>1468</v>
      </c>
      <c r="D441" t="s">
        <v>11</v>
      </c>
      <c r="E441" t="s">
        <v>1469</v>
      </c>
      <c r="F441" t="s">
        <v>63</v>
      </c>
      <c r="G441" t="s">
        <v>1470</v>
      </c>
      <c r="H441" t="s">
        <v>1466</v>
      </c>
      <c r="I441" t="s">
        <v>1471</v>
      </c>
    </row>
    <row r="442" spans="1:9" x14ac:dyDescent="0.25">
      <c r="A442" t="str">
        <f>"Z1E33A4B79"</f>
        <v>Z1E33A4B79</v>
      </c>
      <c r="B442" t="s">
        <v>30</v>
      </c>
      <c r="C442" t="s">
        <v>1472</v>
      </c>
      <c r="D442" t="s">
        <v>11</v>
      </c>
      <c r="E442" t="s">
        <v>226</v>
      </c>
      <c r="F442" t="s">
        <v>226</v>
      </c>
      <c r="G442" t="s">
        <v>1473</v>
      </c>
      <c r="H442" t="s">
        <v>1474</v>
      </c>
      <c r="I442" t="s">
        <v>1473</v>
      </c>
    </row>
    <row r="443" spans="1:9" x14ac:dyDescent="0.25">
      <c r="A443" t="str">
        <f>"ZED33B089C"</f>
        <v>ZED33B089C</v>
      </c>
      <c r="B443" t="s">
        <v>30</v>
      </c>
      <c r="C443" t="s">
        <v>1475</v>
      </c>
      <c r="D443" t="s">
        <v>11</v>
      </c>
      <c r="E443" t="s">
        <v>833</v>
      </c>
      <c r="F443" t="s">
        <v>833</v>
      </c>
      <c r="G443" t="s">
        <v>1476</v>
      </c>
      <c r="H443" t="s">
        <v>1477</v>
      </c>
      <c r="I443" t="s">
        <v>1476</v>
      </c>
    </row>
    <row r="444" spans="1:9" x14ac:dyDescent="0.25">
      <c r="A444" t="str">
        <f>"Z6A33B0994"</f>
        <v>Z6A33B0994</v>
      </c>
      <c r="B444" t="s">
        <v>30</v>
      </c>
      <c r="C444" t="s">
        <v>1478</v>
      </c>
      <c r="D444" t="s">
        <v>11</v>
      </c>
      <c r="E444" t="s">
        <v>833</v>
      </c>
      <c r="F444" t="s">
        <v>833</v>
      </c>
      <c r="G444" t="s">
        <v>1479</v>
      </c>
      <c r="H444" t="s">
        <v>1477</v>
      </c>
      <c r="I444" t="s">
        <v>14</v>
      </c>
    </row>
    <row r="445" spans="1:9" x14ac:dyDescent="0.25">
      <c r="A445" t="str">
        <f>"Z5C33A4A89"</f>
        <v>Z5C33A4A89</v>
      </c>
      <c r="B445" t="s">
        <v>30</v>
      </c>
      <c r="C445" t="s">
        <v>1480</v>
      </c>
      <c r="D445" t="s">
        <v>11</v>
      </c>
      <c r="E445" t="s">
        <v>226</v>
      </c>
      <c r="F445" t="s">
        <v>226</v>
      </c>
      <c r="G445" t="s">
        <v>1481</v>
      </c>
      <c r="H445" t="s">
        <v>1482</v>
      </c>
      <c r="I445" t="s">
        <v>1481</v>
      </c>
    </row>
    <row r="446" spans="1:9" x14ac:dyDescent="0.25">
      <c r="A446" t="str">
        <f>"Z5533A4E88"</f>
        <v>Z5533A4E88</v>
      </c>
      <c r="B446" t="s">
        <v>30</v>
      </c>
      <c r="C446" t="s">
        <v>1483</v>
      </c>
      <c r="D446" t="s">
        <v>11</v>
      </c>
      <c r="E446" t="s">
        <v>226</v>
      </c>
      <c r="F446" t="s">
        <v>226</v>
      </c>
      <c r="G446" t="s">
        <v>1484</v>
      </c>
      <c r="H446" t="s">
        <v>1485</v>
      </c>
      <c r="I446" t="s">
        <v>1484</v>
      </c>
    </row>
    <row r="447" spans="1:9" x14ac:dyDescent="0.25">
      <c r="A447" t="str">
        <f>"ZF333A4A0E"</f>
        <v>ZF333A4A0E</v>
      </c>
      <c r="B447" t="s">
        <v>30</v>
      </c>
      <c r="C447" t="s">
        <v>1486</v>
      </c>
      <c r="D447" t="s">
        <v>11</v>
      </c>
      <c r="E447" t="s">
        <v>226</v>
      </c>
      <c r="F447" t="s">
        <v>226</v>
      </c>
      <c r="G447" t="s">
        <v>422</v>
      </c>
      <c r="H447" t="s">
        <v>1487</v>
      </c>
      <c r="I447" t="s">
        <v>422</v>
      </c>
    </row>
    <row r="448" spans="1:9" x14ac:dyDescent="0.25">
      <c r="A448" t="str">
        <f>"8863593455"</f>
        <v>8863593455</v>
      </c>
      <c r="B448" t="s">
        <v>15</v>
      </c>
      <c r="C448" t="s">
        <v>1488</v>
      </c>
      <c r="D448" t="s">
        <v>11</v>
      </c>
      <c r="E448" t="s">
        <v>1489</v>
      </c>
      <c r="F448" t="s">
        <v>359</v>
      </c>
      <c r="G448" t="s">
        <v>1490</v>
      </c>
      <c r="H448" t="s">
        <v>1491</v>
      </c>
      <c r="I448" t="s">
        <v>1492</v>
      </c>
    </row>
    <row r="449" spans="1:9" x14ac:dyDescent="0.25">
      <c r="A449" t="str">
        <f>"Z3334BED54"</f>
        <v>Z3334BED54</v>
      </c>
      <c r="B449" t="s">
        <v>30</v>
      </c>
      <c r="C449" t="s">
        <v>1493</v>
      </c>
      <c r="D449" t="s">
        <v>11</v>
      </c>
      <c r="E449" t="s">
        <v>226</v>
      </c>
      <c r="F449" t="s">
        <v>226</v>
      </c>
      <c r="G449" t="s">
        <v>1494</v>
      </c>
      <c r="H449" t="s">
        <v>1495</v>
      </c>
      <c r="I449" t="s">
        <v>1496</v>
      </c>
    </row>
    <row r="450" spans="1:9" x14ac:dyDescent="0.25">
      <c r="A450" t="str">
        <f>"Z8C33A4CB0"</f>
        <v>Z8C33A4CB0</v>
      </c>
      <c r="B450" t="s">
        <v>30</v>
      </c>
      <c r="C450" t="s">
        <v>1497</v>
      </c>
      <c r="D450" t="s">
        <v>11</v>
      </c>
      <c r="E450" t="s">
        <v>226</v>
      </c>
      <c r="F450" t="s">
        <v>226</v>
      </c>
      <c r="G450" t="s">
        <v>1498</v>
      </c>
      <c r="H450" t="s">
        <v>1495</v>
      </c>
      <c r="I450" t="s">
        <v>14</v>
      </c>
    </row>
    <row r="451" spans="1:9" x14ac:dyDescent="0.25">
      <c r="A451" t="str">
        <f>"8914287E55"</f>
        <v>8914287E55</v>
      </c>
      <c r="B451" t="s">
        <v>274</v>
      </c>
      <c r="C451" t="s">
        <v>1499</v>
      </c>
      <c r="D451" t="s">
        <v>11</v>
      </c>
      <c r="E451" t="s">
        <v>1500</v>
      </c>
      <c r="F451" t="s">
        <v>1500</v>
      </c>
      <c r="G451" t="s">
        <v>1501</v>
      </c>
      <c r="H451" t="s">
        <v>1502</v>
      </c>
      <c r="I451" t="s">
        <v>1503</v>
      </c>
    </row>
    <row r="452" spans="1:9" x14ac:dyDescent="0.25">
      <c r="A452" t="str">
        <f>"Z4D33A4C60"</f>
        <v>Z4D33A4C60</v>
      </c>
      <c r="B452" t="s">
        <v>30</v>
      </c>
      <c r="C452" t="s">
        <v>1504</v>
      </c>
      <c r="D452" t="s">
        <v>11</v>
      </c>
      <c r="E452" t="s">
        <v>226</v>
      </c>
      <c r="F452" t="s">
        <v>226</v>
      </c>
      <c r="G452" t="s">
        <v>1505</v>
      </c>
      <c r="H452" t="s">
        <v>1506</v>
      </c>
      <c r="I452" t="s">
        <v>1505</v>
      </c>
    </row>
    <row r="453" spans="1:9" x14ac:dyDescent="0.25">
      <c r="A453" t="str">
        <f>"Z2B33B074E"</f>
        <v>Z2B33B074E</v>
      </c>
      <c r="B453" t="s">
        <v>30</v>
      </c>
      <c r="C453" t="s">
        <v>1507</v>
      </c>
      <c r="D453" t="s">
        <v>11</v>
      </c>
      <c r="E453" t="s">
        <v>833</v>
      </c>
      <c r="F453" t="s">
        <v>833</v>
      </c>
      <c r="G453" t="s">
        <v>1508</v>
      </c>
      <c r="H453" t="s">
        <v>1509</v>
      </c>
      <c r="I453" t="s">
        <v>1508</v>
      </c>
    </row>
    <row r="454" spans="1:9" x14ac:dyDescent="0.25">
      <c r="A454" t="str">
        <f>"88359486F4"</f>
        <v>88359486F4</v>
      </c>
      <c r="B454" t="s">
        <v>15</v>
      </c>
      <c r="C454" t="s">
        <v>1510</v>
      </c>
      <c r="D454" t="s">
        <v>17</v>
      </c>
      <c r="E454" t="s">
        <v>122</v>
      </c>
      <c r="F454" t="s">
        <v>122</v>
      </c>
      <c r="G454" t="s">
        <v>1511</v>
      </c>
      <c r="H454" t="s">
        <v>1512</v>
      </c>
      <c r="I454" t="s">
        <v>1513</v>
      </c>
    </row>
    <row r="455" spans="1:9" x14ac:dyDescent="0.25">
      <c r="A455" t="str">
        <f>"8832058CD1"</f>
        <v>8832058CD1</v>
      </c>
      <c r="B455" t="s">
        <v>15</v>
      </c>
      <c r="C455" t="s">
        <v>1514</v>
      </c>
      <c r="D455" t="s">
        <v>11</v>
      </c>
      <c r="E455" t="s">
        <v>177</v>
      </c>
      <c r="F455" t="s">
        <v>177</v>
      </c>
      <c r="G455" t="s">
        <v>1515</v>
      </c>
      <c r="H455" t="s">
        <v>1516</v>
      </c>
      <c r="I455" t="s">
        <v>1517</v>
      </c>
    </row>
    <row r="456" spans="1:9" x14ac:dyDescent="0.25">
      <c r="A456" t="str">
        <f>"8824611B5C"</f>
        <v>8824611B5C</v>
      </c>
      <c r="B456" t="s">
        <v>15</v>
      </c>
      <c r="C456" t="s">
        <v>1518</v>
      </c>
      <c r="D456" t="s">
        <v>11</v>
      </c>
      <c r="E456" t="s">
        <v>1519</v>
      </c>
      <c r="F456" t="s">
        <v>785</v>
      </c>
      <c r="G456" t="s">
        <v>1520</v>
      </c>
      <c r="H456" t="s">
        <v>1521</v>
      </c>
      <c r="I456" t="s">
        <v>14</v>
      </c>
    </row>
    <row r="457" spans="1:9" x14ac:dyDescent="0.25">
      <c r="A457" t="str">
        <f>"Z5C342FC33"</f>
        <v>Z5C342FC33</v>
      </c>
      <c r="B457" t="s">
        <v>30</v>
      </c>
      <c r="C457" t="s">
        <v>1522</v>
      </c>
      <c r="D457" t="s">
        <v>11</v>
      </c>
      <c r="E457" t="s">
        <v>1400</v>
      </c>
      <c r="F457" t="s">
        <v>1400</v>
      </c>
      <c r="G457" t="s">
        <v>1523</v>
      </c>
      <c r="H457" t="s">
        <v>1524</v>
      </c>
      <c r="I457" t="s">
        <v>1525</v>
      </c>
    </row>
    <row r="458" spans="1:9" x14ac:dyDescent="0.25">
      <c r="A458" t="str">
        <f>"8832637AA0"</f>
        <v>8832637AA0</v>
      </c>
      <c r="B458" t="s">
        <v>15</v>
      </c>
      <c r="C458" t="s">
        <v>1526</v>
      </c>
      <c r="D458" t="s">
        <v>26</v>
      </c>
      <c r="E458" t="s">
        <v>1527</v>
      </c>
      <c r="F458" t="s">
        <v>138</v>
      </c>
      <c r="G458" t="s">
        <v>1528</v>
      </c>
      <c r="H458" t="s">
        <v>1529</v>
      </c>
      <c r="I458" t="s">
        <v>1530</v>
      </c>
    </row>
    <row r="459" spans="1:9" x14ac:dyDescent="0.25">
      <c r="A459" t="str">
        <f>"88539563A1"</f>
        <v>88539563A1</v>
      </c>
      <c r="B459" t="s">
        <v>15</v>
      </c>
      <c r="C459" t="s">
        <v>1531</v>
      </c>
      <c r="D459" t="s">
        <v>11</v>
      </c>
      <c r="E459" t="s">
        <v>1532</v>
      </c>
      <c r="F459" t="s">
        <v>1533</v>
      </c>
      <c r="G459" t="s">
        <v>1534</v>
      </c>
      <c r="H459" t="s">
        <v>1535</v>
      </c>
      <c r="I459" t="s">
        <v>1536</v>
      </c>
    </row>
    <row r="460" spans="1:9" x14ac:dyDescent="0.25">
      <c r="A460" t="str">
        <f>"885991377F"</f>
        <v>885991377F</v>
      </c>
      <c r="B460" t="s">
        <v>15</v>
      </c>
      <c r="C460" t="s">
        <v>1537</v>
      </c>
      <c r="D460" t="s">
        <v>11</v>
      </c>
      <c r="E460" t="s">
        <v>1538</v>
      </c>
      <c r="F460" t="s">
        <v>644</v>
      </c>
      <c r="G460" t="s">
        <v>1539</v>
      </c>
      <c r="H460" t="s">
        <v>1540</v>
      </c>
      <c r="I460" t="s">
        <v>1541</v>
      </c>
    </row>
    <row r="461" spans="1:9" x14ac:dyDescent="0.25">
      <c r="A461" t="str">
        <f>"8854280EFD"</f>
        <v>8854280EFD</v>
      </c>
      <c r="B461" t="s">
        <v>15</v>
      </c>
      <c r="C461" t="s">
        <v>1542</v>
      </c>
      <c r="D461" t="s">
        <v>11</v>
      </c>
      <c r="E461" t="s">
        <v>138</v>
      </c>
      <c r="F461" t="s">
        <v>138</v>
      </c>
      <c r="G461" t="s">
        <v>1543</v>
      </c>
      <c r="H461" t="s">
        <v>1544</v>
      </c>
      <c r="I461" t="s">
        <v>1545</v>
      </c>
    </row>
    <row r="462" spans="1:9" x14ac:dyDescent="0.25">
      <c r="A462" t="str">
        <f>"884565409B"</f>
        <v>884565409B</v>
      </c>
      <c r="B462" t="s">
        <v>15</v>
      </c>
      <c r="C462" t="s">
        <v>1546</v>
      </c>
      <c r="D462" t="s">
        <v>11</v>
      </c>
      <c r="E462" t="s">
        <v>343</v>
      </c>
      <c r="F462" t="s">
        <v>343</v>
      </c>
      <c r="G462" t="s">
        <v>1547</v>
      </c>
      <c r="H462" t="s">
        <v>1548</v>
      </c>
      <c r="I462" t="s">
        <v>1549</v>
      </c>
    </row>
    <row r="463" spans="1:9" x14ac:dyDescent="0.25">
      <c r="A463" t="str">
        <f>"ZA134BED90"</f>
        <v>ZA134BED90</v>
      </c>
      <c r="B463" t="s">
        <v>30</v>
      </c>
      <c r="C463" t="s">
        <v>1550</v>
      </c>
      <c r="D463" t="s">
        <v>11</v>
      </c>
      <c r="E463" t="s">
        <v>226</v>
      </c>
      <c r="F463" t="s">
        <v>226</v>
      </c>
      <c r="G463" t="s">
        <v>1551</v>
      </c>
      <c r="H463" t="s">
        <v>1552</v>
      </c>
      <c r="I463" t="s">
        <v>1553</v>
      </c>
    </row>
    <row r="464" spans="1:9" x14ac:dyDescent="0.25">
      <c r="A464" t="str">
        <f>"88358684F0"</f>
        <v>88358684F0</v>
      </c>
      <c r="B464" t="s">
        <v>15</v>
      </c>
      <c r="C464" t="s">
        <v>1554</v>
      </c>
      <c r="D464" t="s">
        <v>17</v>
      </c>
      <c r="E464" t="s">
        <v>113</v>
      </c>
      <c r="F464" t="s">
        <v>113</v>
      </c>
      <c r="G464" t="s">
        <v>1555</v>
      </c>
      <c r="H464" t="s">
        <v>1556</v>
      </c>
      <c r="I464" t="s">
        <v>1557</v>
      </c>
    </row>
    <row r="465" spans="1:9" x14ac:dyDescent="0.25">
      <c r="A465" t="str">
        <f>"ZBF34BECD3"</f>
        <v>ZBF34BECD3</v>
      </c>
      <c r="B465" t="s">
        <v>30</v>
      </c>
      <c r="C465" t="s">
        <v>1558</v>
      </c>
      <c r="D465" t="s">
        <v>11</v>
      </c>
      <c r="E465" t="s">
        <v>226</v>
      </c>
      <c r="F465" t="s">
        <v>226</v>
      </c>
      <c r="G465" t="s">
        <v>414</v>
      </c>
      <c r="H465" t="s">
        <v>1559</v>
      </c>
      <c r="I465" t="s">
        <v>1560</v>
      </c>
    </row>
    <row r="466" spans="1:9" x14ac:dyDescent="0.25">
      <c r="A466" t="str">
        <f>"884554135A"</f>
        <v>884554135A</v>
      </c>
      <c r="B466" t="s">
        <v>15</v>
      </c>
      <c r="C466" t="s">
        <v>1561</v>
      </c>
      <c r="D466" t="s">
        <v>11</v>
      </c>
      <c r="E466" t="s">
        <v>504</v>
      </c>
      <c r="F466" t="s">
        <v>504</v>
      </c>
      <c r="G466" t="s">
        <v>1562</v>
      </c>
      <c r="H466" t="s">
        <v>1563</v>
      </c>
      <c r="I466" t="s">
        <v>1564</v>
      </c>
    </row>
    <row r="467" spans="1:9" x14ac:dyDescent="0.25">
      <c r="A467" t="str">
        <f>"Z1E33A4597"</f>
        <v>Z1E33A4597</v>
      </c>
      <c r="B467" t="s">
        <v>30</v>
      </c>
      <c r="C467" t="s">
        <v>1565</v>
      </c>
      <c r="D467" t="s">
        <v>11</v>
      </c>
      <c r="E467" t="s">
        <v>226</v>
      </c>
      <c r="F467" t="s">
        <v>226</v>
      </c>
      <c r="G467" t="s">
        <v>422</v>
      </c>
      <c r="H467" t="s">
        <v>1566</v>
      </c>
      <c r="I467" t="s">
        <v>422</v>
      </c>
    </row>
    <row r="468" spans="1:9" x14ac:dyDescent="0.25">
      <c r="A468" t="str">
        <f>"Z9B33A47E8"</f>
        <v>Z9B33A47E8</v>
      </c>
      <c r="B468" t="s">
        <v>30</v>
      </c>
      <c r="C468" t="s">
        <v>1567</v>
      </c>
      <c r="D468" t="s">
        <v>11</v>
      </c>
      <c r="E468" t="s">
        <v>226</v>
      </c>
      <c r="F468" t="s">
        <v>226</v>
      </c>
      <c r="G468" t="s">
        <v>1481</v>
      </c>
      <c r="H468" t="s">
        <v>1568</v>
      </c>
      <c r="I468" t="s">
        <v>1481</v>
      </c>
    </row>
    <row r="469" spans="1:9" x14ac:dyDescent="0.25">
      <c r="A469" t="str">
        <f>"ZA133A43A4"</f>
        <v>ZA133A43A4</v>
      </c>
      <c r="B469" t="s">
        <v>30</v>
      </c>
      <c r="C469" t="s">
        <v>1569</v>
      </c>
      <c r="D469" t="s">
        <v>11</v>
      </c>
      <c r="E469" t="s">
        <v>226</v>
      </c>
      <c r="F469" t="s">
        <v>226</v>
      </c>
      <c r="G469" t="s">
        <v>1272</v>
      </c>
      <c r="H469" t="s">
        <v>1568</v>
      </c>
      <c r="I469" t="s">
        <v>1272</v>
      </c>
    </row>
    <row r="470" spans="1:9" x14ac:dyDescent="0.25">
      <c r="A470" t="str">
        <f>"88357947DE"</f>
        <v>88357947DE</v>
      </c>
      <c r="B470" t="s">
        <v>15</v>
      </c>
      <c r="C470" t="s">
        <v>345</v>
      </c>
      <c r="D470" t="s">
        <v>17</v>
      </c>
      <c r="E470" t="s">
        <v>346</v>
      </c>
      <c r="F470" t="s">
        <v>346</v>
      </c>
      <c r="G470" t="s">
        <v>1570</v>
      </c>
      <c r="H470" t="s">
        <v>1571</v>
      </c>
      <c r="I470" t="s">
        <v>1572</v>
      </c>
    </row>
    <row r="471" spans="1:9" x14ac:dyDescent="0.25">
      <c r="A471" t="str">
        <f>"883590102D"</f>
        <v>883590102D</v>
      </c>
      <c r="B471" t="s">
        <v>15</v>
      </c>
      <c r="C471" t="s">
        <v>480</v>
      </c>
      <c r="D471" t="s">
        <v>17</v>
      </c>
      <c r="E471" t="s">
        <v>159</v>
      </c>
      <c r="F471" t="s">
        <v>159</v>
      </c>
      <c r="G471" t="s">
        <v>1573</v>
      </c>
      <c r="H471" t="s">
        <v>1571</v>
      </c>
      <c r="I471" t="s">
        <v>1574</v>
      </c>
    </row>
    <row r="472" spans="1:9" x14ac:dyDescent="0.25">
      <c r="A472" t="str">
        <f>"8837034726"</f>
        <v>8837034726</v>
      </c>
      <c r="B472" t="s">
        <v>15</v>
      </c>
      <c r="C472" t="s">
        <v>1575</v>
      </c>
      <c r="D472" t="s">
        <v>17</v>
      </c>
      <c r="E472" t="s">
        <v>63</v>
      </c>
      <c r="F472" t="s">
        <v>63</v>
      </c>
      <c r="G472" t="s">
        <v>1576</v>
      </c>
      <c r="H472" t="s">
        <v>1571</v>
      </c>
      <c r="I472" t="s">
        <v>1577</v>
      </c>
    </row>
    <row r="473" spans="1:9" x14ac:dyDescent="0.25">
      <c r="A473" t="str">
        <f>"Z5D345F550"</f>
        <v>Z5D345F550</v>
      </c>
      <c r="B473" t="s">
        <v>30</v>
      </c>
      <c r="C473" t="s">
        <v>1578</v>
      </c>
      <c r="D473" t="s">
        <v>11</v>
      </c>
      <c r="E473" t="s">
        <v>837</v>
      </c>
      <c r="F473" t="s">
        <v>837</v>
      </c>
      <c r="G473" t="s">
        <v>1579</v>
      </c>
      <c r="H473" t="s">
        <v>1580</v>
      </c>
      <c r="I473" t="s">
        <v>1581</v>
      </c>
    </row>
    <row r="474" spans="1:9" x14ac:dyDescent="0.25">
      <c r="A474" t="str">
        <f>"Z9534882B1"</f>
        <v>Z9534882B1</v>
      </c>
      <c r="B474" t="s">
        <v>30</v>
      </c>
      <c r="C474" t="s">
        <v>1582</v>
      </c>
      <c r="D474" t="s">
        <v>11</v>
      </c>
      <c r="E474" t="s">
        <v>833</v>
      </c>
      <c r="F474" t="s">
        <v>833</v>
      </c>
      <c r="G474" t="s">
        <v>1583</v>
      </c>
      <c r="H474" t="s">
        <v>1584</v>
      </c>
      <c r="I474" t="s">
        <v>1585</v>
      </c>
    </row>
    <row r="475" spans="1:9" x14ac:dyDescent="0.25">
      <c r="A475" t="str">
        <f>"Z7B33050ED"</f>
        <v>Z7B33050ED</v>
      </c>
      <c r="B475" t="s">
        <v>30</v>
      </c>
      <c r="C475" t="s">
        <v>1586</v>
      </c>
      <c r="D475" t="s">
        <v>11</v>
      </c>
      <c r="E475" t="s">
        <v>226</v>
      </c>
      <c r="F475" t="s">
        <v>226</v>
      </c>
      <c r="G475" t="s">
        <v>414</v>
      </c>
      <c r="H475" t="s">
        <v>1587</v>
      </c>
      <c r="I475" t="s">
        <v>414</v>
      </c>
    </row>
    <row r="476" spans="1:9" x14ac:dyDescent="0.25">
      <c r="A476" t="str">
        <f>"8837081DED"</f>
        <v>8837081DED</v>
      </c>
      <c r="B476" t="s">
        <v>15</v>
      </c>
      <c r="C476" t="s">
        <v>1588</v>
      </c>
      <c r="D476" t="s">
        <v>17</v>
      </c>
      <c r="E476" t="s">
        <v>324</v>
      </c>
      <c r="F476" t="s">
        <v>324</v>
      </c>
      <c r="G476" t="s">
        <v>1589</v>
      </c>
      <c r="H476" t="s">
        <v>1590</v>
      </c>
      <c r="I476" t="s">
        <v>1591</v>
      </c>
    </row>
    <row r="477" spans="1:9" x14ac:dyDescent="0.25">
      <c r="A477" t="str">
        <f>"Z1034C0F09"</f>
        <v>Z1034C0F09</v>
      </c>
      <c r="B477" t="s">
        <v>30</v>
      </c>
      <c r="C477" t="s">
        <v>1592</v>
      </c>
      <c r="D477" t="s">
        <v>11</v>
      </c>
      <c r="E477" t="s">
        <v>837</v>
      </c>
      <c r="F477" t="s">
        <v>837</v>
      </c>
      <c r="G477" t="s">
        <v>1593</v>
      </c>
      <c r="H477" t="s">
        <v>1594</v>
      </c>
      <c r="I477" t="s">
        <v>1595</v>
      </c>
    </row>
    <row r="478" spans="1:9" x14ac:dyDescent="0.25">
      <c r="A478" t="str">
        <f>"ZA53488024"</f>
        <v>ZA53488024</v>
      </c>
      <c r="B478" t="s">
        <v>30</v>
      </c>
      <c r="C478" t="s">
        <v>1596</v>
      </c>
      <c r="D478" t="s">
        <v>11</v>
      </c>
      <c r="E478" t="s">
        <v>837</v>
      </c>
      <c r="F478" t="s">
        <v>837</v>
      </c>
      <c r="G478" t="s">
        <v>1597</v>
      </c>
      <c r="H478" t="s">
        <v>1598</v>
      </c>
      <c r="I478" t="s">
        <v>1599</v>
      </c>
    </row>
    <row r="479" spans="1:9" x14ac:dyDescent="0.25">
      <c r="A479" t="str">
        <f>"8818057AD4"</f>
        <v>8818057AD4</v>
      </c>
      <c r="B479" t="s">
        <v>15</v>
      </c>
      <c r="C479" t="s">
        <v>1600</v>
      </c>
      <c r="D479" t="s">
        <v>11</v>
      </c>
      <c r="E479" t="s">
        <v>1601</v>
      </c>
      <c r="F479" t="s">
        <v>917</v>
      </c>
      <c r="G479" t="s">
        <v>1602</v>
      </c>
      <c r="H479" t="s">
        <v>1603</v>
      </c>
      <c r="I479" t="s">
        <v>1604</v>
      </c>
    </row>
    <row r="480" spans="1:9" x14ac:dyDescent="0.25">
      <c r="A480" t="str">
        <f>"881799145F"</f>
        <v>881799145F</v>
      </c>
      <c r="B480" t="s">
        <v>15</v>
      </c>
      <c r="C480" t="s">
        <v>1605</v>
      </c>
      <c r="D480" t="s">
        <v>11</v>
      </c>
      <c r="E480" t="s">
        <v>1601</v>
      </c>
      <c r="F480" t="s">
        <v>917</v>
      </c>
      <c r="G480" t="s">
        <v>1606</v>
      </c>
      <c r="H480" t="s">
        <v>1603</v>
      </c>
      <c r="I480" t="s">
        <v>1607</v>
      </c>
    </row>
    <row r="481" spans="1:9" x14ac:dyDescent="0.25">
      <c r="A481" t="str">
        <f>"87460626AE"</f>
        <v>87460626AE</v>
      </c>
      <c r="B481" t="s">
        <v>24</v>
      </c>
      <c r="C481" t="s">
        <v>1608</v>
      </c>
      <c r="D481" t="s">
        <v>17</v>
      </c>
      <c r="E481" t="s">
        <v>389</v>
      </c>
      <c r="F481" t="s">
        <v>389</v>
      </c>
      <c r="G481" t="s">
        <v>1609</v>
      </c>
      <c r="H481" t="s">
        <v>1610</v>
      </c>
      <c r="I481" t="s">
        <v>1611</v>
      </c>
    </row>
    <row r="482" spans="1:9" x14ac:dyDescent="0.25">
      <c r="A482" t="str">
        <f>"8818067317"</f>
        <v>8818067317</v>
      </c>
      <c r="B482" t="s">
        <v>15</v>
      </c>
      <c r="C482" t="s">
        <v>1612</v>
      </c>
      <c r="D482" t="s">
        <v>11</v>
      </c>
      <c r="E482" t="s">
        <v>1613</v>
      </c>
      <c r="F482" t="s">
        <v>917</v>
      </c>
      <c r="G482" t="s">
        <v>1614</v>
      </c>
      <c r="H482" t="s">
        <v>1603</v>
      </c>
      <c r="I482" t="s">
        <v>1615</v>
      </c>
    </row>
    <row r="483" spans="1:9" x14ac:dyDescent="0.25">
      <c r="A483" t="str">
        <f>"8818048369"</f>
        <v>8818048369</v>
      </c>
      <c r="B483" t="s">
        <v>15</v>
      </c>
      <c r="C483" t="s">
        <v>1616</v>
      </c>
      <c r="D483" t="s">
        <v>11</v>
      </c>
      <c r="E483" t="s">
        <v>1601</v>
      </c>
      <c r="F483" t="s">
        <v>917</v>
      </c>
      <c r="G483" t="s">
        <v>1617</v>
      </c>
      <c r="H483" t="s">
        <v>1603</v>
      </c>
      <c r="I483" t="s">
        <v>1618</v>
      </c>
    </row>
    <row r="484" spans="1:9" x14ac:dyDescent="0.25">
      <c r="A484" t="str">
        <f>"8818059C7A"</f>
        <v>8818059C7A</v>
      </c>
      <c r="B484" t="s">
        <v>15</v>
      </c>
      <c r="C484" t="s">
        <v>1619</v>
      </c>
      <c r="D484" t="s">
        <v>11</v>
      </c>
      <c r="E484" t="s">
        <v>1601</v>
      </c>
      <c r="F484" t="s">
        <v>917</v>
      </c>
      <c r="G484" t="s">
        <v>1620</v>
      </c>
      <c r="H484" t="s">
        <v>1603</v>
      </c>
      <c r="I484" t="s">
        <v>1621</v>
      </c>
    </row>
    <row r="485" spans="1:9" x14ac:dyDescent="0.25">
      <c r="A485" t="str">
        <f>"8835831667"</f>
        <v>8835831667</v>
      </c>
      <c r="B485" t="s">
        <v>15</v>
      </c>
      <c r="C485" t="s">
        <v>1622</v>
      </c>
      <c r="D485" t="s">
        <v>17</v>
      </c>
      <c r="E485" t="s">
        <v>504</v>
      </c>
      <c r="F485" t="s">
        <v>504</v>
      </c>
      <c r="G485" t="s">
        <v>1623</v>
      </c>
      <c r="H485" t="s">
        <v>1624</v>
      </c>
      <c r="I485" t="s">
        <v>1625</v>
      </c>
    </row>
    <row r="486" spans="1:9" x14ac:dyDescent="0.25">
      <c r="A486" t="str">
        <f>"Z5833B04BA"</f>
        <v>Z5833B04BA</v>
      </c>
      <c r="B486" t="s">
        <v>30</v>
      </c>
      <c r="C486" t="s">
        <v>1626</v>
      </c>
      <c r="D486" t="s">
        <v>11</v>
      </c>
      <c r="E486" t="s">
        <v>833</v>
      </c>
      <c r="F486" t="s">
        <v>833</v>
      </c>
      <c r="G486" t="s">
        <v>1627</v>
      </c>
      <c r="H486" t="s">
        <v>1628</v>
      </c>
      <c r="I486" t="s">
        <v>1627</v>
      </c>
    </row>
    <row r="487" spans="1:9" x14ac:dyDescent="0.25">
      <c r="A487" t="str">
        <f>"Z2733AFF5D"</f>
        <v>Z2733AFF5D</v>
      </c>
      <c r="B487" t="s">
        <v>30</v>
      </c>
      <c r="C487" t="s">
        <v>1629</v>
      </c>
      <c r="D487" t="s">
        <v>11</v>
      </c>
      <c r="E487" t="s">
        <v>837</v>
      </c>
      <c r="F487" t="s">
        <v>837</v>
      </c>
      <c r="G487" t="s">
        <v>1630</v>
      </c>
      <c r="H487" t="s">
        <v>1631</v>
      </c>
      <c r="I487" t="s">
        <v>14</v>
      </c>
    </row>
    <row r="488" spans="1:9" x14ac:dyDescent="0.25">
      <c r="A488" t="str">
        <f>"Z123304646"</f>
        <v>Z123304646</v>
      </c>
      <c r="B488" t="s">
        <v>30</v>
      </c>
      <c r="C488" t="s">
        <v>1632</v>
      </c>
      <c r="D488" t="s">
        <v>11</v>
      </c>
      <c r="E488" t="s">
        <v>226</v>
      </c>
      <c r="F488" t="s">
        <v>226</v>
      </c>
      <c r="G488" t="s">
        <v>1454</v>
      </c>
      <c r="H488" t="s">
        <v>1633</v>
      </c>
      <c r="I488" t="s">
        <v>1454</v>
      </c>
    </row>
    <row r="489" spans="1:9" x14ac:dyDescent="0.25">
      <c r="A489" t="str">
        <f>"8817837549"</f>
        <v>8817837549</v>
      </c>
      <c r="B489" t="s">
        <v>15</v>
      </c>
      <c r="C489" t="s">
        <v>1634</v>
      </c>
      <c r="D489" t="s">
        <v>11</v>
      </c>
      <c r="E489" t="s">
        <v>1635</v>
      </c>
      <c r="F489" t="s">
        <v>917</v>
      </c>
      <c r="G489" t="s">
        <v>1636</v>
      </c>
      <c r="H489" t="s">
        <v>1637</v>
      </c>
      <c r="I489" t="s">
        <v>1638</v>
      </c>
    </row>
    <row r="490" spans="1:9" x14ac:dyDescent="0.25">
      <c r="A490" t="str">
        <f>"Z0C33044A8"</f>
        <v>Z0C33044A8</v>
      </c>
      <c r="B490" t="s">
        <v>30</v>
      </c>
      <c r="C490" t="s">
        <v>1639</v>
      </c>
      <c r="D490" t="s">
        <v>11</v>
      </c>
      <c r="E490" t="s">
        <v>226</v>
      </c>
      <c r="F490" t="s">
        <v>226</v>
      </c>
      <c r="G490" t="s">
        <v>1640</v>
      </c>
      <c r="H490" t="s">
        <v>1641</v>
      </c>
      <c r="I490" t="s">
        <v>1640</v>
      </c>
    </row>
    <row r="491" spans="1:9" x14ac:dyDescent="0.25">
      <c r="A491" t="str">
        <f>"8758420CD1"</f>
        <v>8758420CD1</v>
      </c>
      <c r="B491" t="s">
        <v>15</v>
      </c>
      <c r="C491" t="s">
        <v>1642</v>
      </c>
      <c r="D491" t="s">
        <v>11</v>
      </c>
      <c r="E491" t="s">
        <v>1643</v>
      </c>
      <c r="F491" t="s">
        <v>489</v>
      </c>
      <c r="G491" t="s">
        <v>1644</v>
      </c>
      <c r="H491" t="s">
        <v>1645</v>
      </c>
      <c r="I491" t="s">
        <v>1646</v>
      </c>
    </row>
    <row r="492" spans="1:9" x14ac:dyDescent="0.25">
      <c r="A492" t="str">
        <f>"ZF93305092"</f>
        <v>ZF93305092</v>
      </c>
      <c r="B492" t="s">
        <v>30</v>
      </c>
      <c r="C492" t="s">
        <v>1647</v>
      </c>
      <c r="D492" t="s">
        <v>11</v>
      </c>
      <c r="E492" t="s">
        <v>226</v>
      </c>
      <c r="F492" t="s">
        <v>226</v>
      </c>
      <c r="G492" t="s">
        <v>1237</v>
      </c>
      <c r="H492" t="s">
        <v>1648</v>
      </c>
      <c r="I492" t="s">
        <v>1237</v>
      </c>
    </row>
    <row r="493" spans="1:9" x14ac:dyDescent="0.25">
      <c r="A493" t="str">
        <f>"88358050F4"</f>
        <v>88358050F4</v>
      </c>
      <c r="B493" t="s">
        <v>15</v>
      </c>
      <c r="C493" t="s">
        <v>1649</v>
      </c>
      <c r="D493" t="s">
        <v>17</v>
      </c>
      <c r="E493" t="s">
        <v>330</v>
      </c>
      <c r="F493" t="s">
        <v>330</v>
      </c>
      <c r="G493" t="s">
        <v>1650</v>
      </c>
      <c r="H493" t="s">
        <v>1651</v>
      </c>
      <c r="I493" t="s">
        <v>14</v>
      </c>
    </row>
    <row r="494" spans="1:9" x14ac:dyDescent="0.25">
      <c r="A494" t="str">
        <f>"ZCA33045DD"</f>
        <v>ZCA33045DD</v>
      </c>
      <c r="B494" t="s">
        <v>30</v>
      </c>
      <c r="C494" t="s">
        <v>1652</v>
      </c>
      <c r="D494" t="s">
        <v>11</v>
      </c>
      <c r="E494" t="s">
        <v>226</v>
      </c>
      <c r="F494" t="s">
        <v>226</v>
      </c>
      <c r="G494" t="s">
        <v>1118</v>
      </c>
      <c r="H494" t="s">
        <v>1653</v>
      </c>
      <c r="I494" t="s">
        <v>1118</v>
      </c>
    </row>
    <row r="495" spans="1:9" x14ac:dyDescent="0.25">
      <c r="A495" t="str">
        <f>"8837214BAF"</f>
        <v>8837214BAF</v>
      </c>
      <c r="B495" t="s">
        <v>15</v>
      </c>
      <c r="C495" t="s">
        <v>1654</v>
      </c>
      <c r="D495" t="s">
        <v>17</v>
      </c>
      <c r="E495" t="s">
        <v>1655</v>
      </c>
      <c r="F495" t="s">
        <v>1655</v>
      </c>
      <c r="G495" t="s">
        <v>1656</v>
      </c>
      <c r="H495" t="s">
        <v>1651</v>
      </c>
      <c r="I495" t="s">
        <v>1657</v>
      </c>
    </row>
    <row r="496" spans="1:9" x14ac:dyDescent="0.25">
      <c r="A496" t="str">
        <f>"8493287228"</f>
        <v>8493287228</v>
      </c>
      <c r="B496" t="s">
        <v>274</v>
      </c>
      <c r="C496" t="s">
        <v>1658</v>
      </c>
      <c r="D496" t="s">
        <v>22</v>
      </c>
      <c r="E496" t="s">
        <v>1659</v>
      </c>
      <c r="F496" t="s">
        <v>1660</v>
      </c>
      <c r="G496" t="s">
        <v>1661</v>
      </c>
      <c r="H496" t="s">
        <v>1662</v>
      </c>
      <c r="I496" t="s">
        <v>1663</v>
      </c>
    </row>
    <row r="497" spans="1:9" x14ac:dyDescent="0.25">
      <c r="A497" t="str">
        <f>"ZC332FBEA2"</f>
        <v>ZC332FBEA2</v>
      </c>
      <c r="B497" t="s">
        <v>30</v>
      </c>
      <c r="C497" t="s">
        <v>1664</v>
      </c>
      <c r="D497" t="s">
        <v>11</v>
      </c>
      <c r="E497" t="s">
        <v>226</v>
      </c>
      <c r="F497" t="s">
        <v>226</v>
      </c>
      <c r="G497" t="s">
        <v>1665</v>
      </c>
      <c r="H497" t="s">
        <v>1666</v>
      </c>
      <c r="I497" t="s">
        <v>1665</v>
      </c>
    </row>
    <row r="498" spans="1:9" x14ac:dyDescent="0.25">
      <c r="A498" t="str">
        <f>"Z4633B02D1"</f>
        <v>Z4633B02D1</v>
      </c>
      <c r="B498" t="s">
        <v>30</v>
      </c>
      <c r="C498" t="s">
        <v>1667</v>
      </c>
      <c r="D498" t="s">
        <v>11</v>
      </c>
      <c r="E498" t="s">
        <v>833</v>
      </c>
      <c r="F498" t="s">
        <v>833</v>
      </c>
      <c r="G498" t="s">
        <v>1668</v>
      </c>
      <c r="H498" t="s">
        <v>1669</v>
      </c>
      <c r="I498" t="s">
        <v>1668</v>
      </c>
    </row>
    <row r="499" spans="1:9" x14ac:dyDescent="0.25">
      <c r="A499" t="str">
        <f>"88446113E4"</f>
        <v>88446113E4</v>
      </c>
      <c r="B499" t="s">
        <v>15</v>
      </c>
      <c r="C499" t="s">
        <v>1670</v>
      </c>
      <c r="D499" t="s">
        <v>11</v>
      </c>
      <c r="E499" t="s">
        <v>850</v>
      </c>
      <c r="F499" t="s">
        <v>850</v>
      </c>
      <c r="G499" t="s">
        <v>1671</v>
      </c>
      <c r="H499" t="s">
        <v>1672</v>
      </c>
      <c r="I499" t="s">
        <v>1673</v>
      </c>
    </row>
    <row r="500" spans="1:9" x14ac:dyDescent="0.25">
      <c r="A500" t="str">
        <f>"87432072AA"</f>
        <v>87432072AA</v>
      </c>
      <c r="B500" t="s">
        <v>15</v>
      </c>
      <c r="C500" t="s">
        <v>1674</v>
      </c>
      <c r="D500" t="s">
        <v>26</v>
      </c>
      <c r="E500" t="s">
        <v>1675</v>
      </c>
      <c r="F500" t="s">
        <v>716</v>
      </c>
      <c r="G500" t="s">
        <v>1676</v>
      </c>
      <c r="H500" t="s">
        <v>1677</v>
      </c>
      <c r="I500" t="s">
        <v>1678</v>
      </c>
    </row>
    <row r="501" spans="1:9" x14ac:dyDescent="0.25">
      <c r="A501" t="str">
        <f>"880871800E"</f>
        <v>880871800E</v>
      </c>
      <c r="B501" t="s">
        <v>274</v>
      </c>
      <c r="C501" t="s">
        <v>1679</v>
      </c>
      <c r="D501" t="s">
        <v>11</v>
      </c>
      <c r="E501" t="s">
        <v>1680</v>
      </c>
      <c r="F501" t="s">
        <v>1681</v>
      </c>
      <c r="G501" t="s">
        <v>1682</v>
      </c>
      <c r="H501" t="s">
        <v>1683</v>
      </c>
      <c r="I501" t="s">
        <v>1684</v>
      </c>
    </row>
    <row r="502" spans="1:9" x14ac:dyDescent="0.25">
      <c r="A502" t="str">
        <f>"8789675D42"</f>
        <v>8789675D42</v>
      </c>
      <c r="B502" t="s">
        <v>15</v>
      </c>
      <c r="C502" t="s">
        <v>1685</v>
      </c>
      <c r="D502" t="s">
        <v>17</v>
      </c>
      <c r="E502" t="s">
        <v>589</v>
      </c>
      <c r="F502" t="s">
        <v>589</v>
      </c>
      <c r="G502" t="s">
        <v>1686</v>
      </c>
      <c r="H502" t="s">
        <v>1687</v>
      </c>
      <c r="I502" t="s">
        <v>1688</v>
      </c>
    </row>
    <row r="503" spans="1:9" x14ac:dyDescent="0.25">
      <c r="A503" t="str">
        <f>"Z3932FBFAD"</f>
        <v>Z3932FBFAD</v>
      </c>
      <c r="B503" t="s">
        <v>30</v>
      </c>
      <c r="C503" t="s">
        <v>1689</v>
      </c>
      <c r="D503" t="s">
        <v>11</v>
      </c>
      <c r="E503" t="s">
        <v>226</v>
      </c>
      <c r="F503" t="s">
        <v>226</v>
      </c>
      <c r="G503" t="s">
        <v>1211</v>
      </c>
      <c r="H503" t="s">
        <v>1690</v>
      </c>
      <c r="I503" t="s">
        <v>1211</v>
      </c>
    </row>
    <row r="504" spans="1:9" x14ac:dyDescent="0.25">
      <c r="A504" t="str">
        <f>"ZB632FC008"</f>
        <v>ZB632FC008</v>
      </c>
      <c r="B504" t="s">
        <v>30</v>
      </c>
      <c r="C504" t="s">
        <v>1691</v>
      </c>
      <c r="D504" t="s">
        <v>11</v>
      </c>
      <c r="E504" t="s">
        <v>226</v>
      </c>
      <c r="F504" t="s">
        <v>226</v>
      </c>
      <c r="G504" t="s">
        <v>1272</v>
      </c>
      <c r="H504" t="s">
        <v>1692</v>
      </c>
      <c r="I504" t="s">
        <v>1272</v>
      </c>
    </row>
    <row r="505" spans="1:9" x14ac:dyDescent="0.25">
      <c r="A505" t="str">
        <f>"ZA932FC073"</f>
        <v>ZA932FC073</v>
      </c>
      <c r="B505" t="s">
        <v>30</v>
      </c>
      <c r="C505" t="s">
        <v>1693</v>
      </c>
      <c r="D505" t="s">
        <v>11</v>
      </c>
      <c r="E505" t="s">
        <v>226</v>
      </c>
      <c r="F505" t="s">
        <v>226</v>
      </c>
      <c r="G505" t="s">
        <v>422</v>
      </c>
      <c r="H505" t="s">
        <v>1694</v>
      </c>
      <c r="I505" t="s">
        <v>422</v>
      </c>
    </row>
    <row r="506" spans="1:9" x14ac:dyDescent="0.25">
      <c r="A506" t="str">
        <f>"8856326769"</f>
        <v>8856326769</v>
      </c>
      <c r="B506" t="s">
        <v>15</v>
      </c>
      <c r="C506" t="s">
        <v>1695</v>
      </c>
      <c r="D506" t="s">
        <v>26</v>
      </c>
      <c r="E506" t="s">
        <v>1696</v>
      </c>
      <c r="F506" t="s">
        <v>174</v>
      </c>
      <c r="G506" t="s">
        <v>1697</v>
      </c>
      <c r="H506" t="s">
        <v>1698</v>
      </c>
      <c r="I506" t="s">
        <v>1699</v>
      </c>
    </row>
    <row r="507" spans="1:9" x14ac:dyDescent="0.25">
      <c r="A507" t="str">
        <f>"87186612AA"</f>
        <v>87186612AA</v>
      </c>
      <c r="B507" t="s">
        <v>24</v>
      </c>
      <c r="C507" t="s">
        <v>1700</v>
      </c>
      <c r="D507" t="s">
        <v>17</v>
      </c>
      <c r="E507" t="s">
        <v>177</v>
      </c>
      <c r="F507" t="s">
        <v>177</v>
      </c>
      <c r="G507" t="s">
        <v>1701</v>
      </c>
      <c r="H507" t="s">
        <v>1702</v>
      </c>
      <c r="I507" t="s">
        <v>1703</v>
      </c>
    </row>
    <row r="508" spans="1:9" x14ac:dyDescent="0.25">
      <c r="A508" t="str">
        <f>"ZC834BEC4F"</f>
        <v>ZC834BEC4F</v>
      </c>
      <c r="B508" t="s">
        <v>30</v>
      </c>
      <c r="C508" t="s">
        <v>1704</v>
      </c>
      <c r="D508" t="s">
        <v>11</v>
      </c>
      <c r="E508" t="s">
        <v>226</v>
      </c>
      <c r="F508" t="s">
        <v>226</v>
      </c>
      <c r="G508" t="s">
        <v>1705</v>
      </c>
      <c r="H508" t="s">
        <v>1706</v>
      </c>
      <c r="I508" t="s">
        <v>1133</v>
      </c>
    </row>
    <row r="509" spans="1:9" x14ac:dyDescent="0.25">
      <c r="A509" t="str">
        <f>"Z9632FBF40"</f>
        <v>Z9632FBF40</v>
      </c>
      <c r="B509" t="s">
        <v>30</v>
      </c>
      <c r="C509" t="s">
        <v>1707</v>
      </c>
      <c r="D509" t="s">
        <v>11</v>
      </c>
      <c r="E509" t="s">
        <v>226</v>
      </c>
      <c r="F509" t="s">
        <v>226</v>
      </c>
      <c r="G509" t="s">
        <v>1708</v>
      </c>
      <c r="H509" t="s">
        <v>1706</v>
      </c>
      <c r="I509" t="s">
        <v>1708</v>
      </c>
    </row>
    <row r="510" spans="1:9" x14ac:dyDescent="0.25">
      <c r="A510" t="str">
        <f>"ZDA3295E78"</f>
        <v>ZDA3295E78</v>
      </c>
      <c r="B510" t="s">
        <v>30</v>
      </c>
      <c r="C510" t="s">
        <v>1709</v>
      </c>
      <c r="D510" t="s">
        <v>11</v>
      </c>
      <c r="E510" t="s">
        <v>226</v>
      </c>
      <c r="F510" t="s">
        <v>226</v>
      </c>
      <c r="G510" t="s">
        <v>1705</v>
      </c>
      <c r="H510" t="s">
        <v>1710</v>
      </c>
      <c r="I510" t="s">
        <v>14</v>
      </c>
    </row>
    <row r="511" spans="1:9" x14ac:dyDescent="0.25">
      <c r="A511" t="str">
        <f>"ZDF3295ED6"</f>
        <v>ZDF3295ED6</v>
      </c>
      <c r="B511" t="s">
        <v>30</v>
      </c>
      <c r="C511" t="s">
        <v>1711</v>
      </c>
      <c r="D511" t="s">
        <v>11</v>
      </c>
      <c r="E511" t="s">
        <v>226</v>
      </c>
      <c r="F511" t="s">
        <v>226</v>
      </c>
      <c r="G511" t="s">
        <v>1211</v>
      </c>
      <c r="H511" t="s">
        <v>1710</v>
      </c>
      <c r="I511" t="s">
        <v>14</v>
      </c>
    </row>
    <row r="512" spans="1:9" x14ac:dyDescent="0.25">
      <c r="A512" t="str">
        <f>"8750394D8D"</f>
        <v>8750394D8D</v>
      </c>
      <c r="B512" t="s">
        <v>15</v>
      </c>
      <c r="C512" t="s">
        <v>1712</v>
      </c>
      <c r="D512" t="s">
        <v>11</v>
      </c>
      <c r="E512" t="s">
        <v>1713</v>
      </c>
      <c r="F512" t="s">
        <v>485</v>
      </c>
      <c r="G512" t="s">
        <v>1714</v>
      </c>
      <c r="H512" t="s">
        <v>1715</v>
      </c>
      <c r="I512" t="s">
        <v>1716</v>
      </c>
    </row>
    <row r="513" spans="1:9" x14ac:dyDescent="0.25">
      <c r="A513" t="str">
        <f>"8771838DB3"</f>
        <v>8771838DB3</v>
      </c>
      <c r="B513" t="s">
        <v>15</v>
      </c>
      <c r="C513" t="s">
        <v>1717</v>
      </c>
      <c r="D513" t="s">
        <v>11</v>
      </c>
      <c r="E513" t="s">
        <v>1718</v>
      </c>
      <c r="F513" t="s">
        <v>504</v>
      </c>
      <c r="G513" t="s">
        <v>1719</v>
      </c>
      <c r="H513" t="s">
        <v>1715</v>
      </c>
      <c r="I513" t="s">
        <v>1720</v>
      </c>
    </row>
    <row r="514" spans="1:9" x14ac:dyDescent="0.25">
      <c r="A514" t="str">
        <f>"Z20334B582"</f>
        <v>Z20334B582</v>
      </c>
      <c r="B514" t="s">
        <v>30</v>
      </c>
      <c r="C514" t="s">
        <v>1721</v>
      </c>
      <c r="D514" t="s">
        <v>11</v>
      </c>
      <c r="E514" t="s">
        <v>837</v>
      </c>
      <c r="F514" t="s">
        <v>837</v>
      </c>
      <c r="G514" t="s">
        <v>1630</v>
      </c>
      <c r="H514" t="s">
        <v>1722</v>
      </c>
      <c r="I514" t="s">
        <v>14</v>
      </c>
    </row>
    <row r="515" spans="1:9" x14ac:dyDescent="0.25">
      <c r="A515" t="str">
        <f>"Z463295CD1"</f>
        <v>Z463295CD1</v>
      </c>
      <c r="B515" t="s">
        <v>30</v>
      </c>
      <c r="C515" t="s">
        <v>1723</v>
      </c>
      <c r="D515" t="s">
        <v>11</v>
      </c>
      <c r="E515" t="s">
        <v>226</v>
      </c>
      <c r="F515" t="s">
        <v>226</v>
      </c>
      <c r="G515" t="s">
        <v>1724</v>
      </c>
      <c r="H515" t="s">
        <v>1725</v>
      </c>
      <c r="I515" t="s">
        <v>14</v>
      </c>
    </row>
    <row r="516" spans="1:9" x14ac:dyDescent="0.25">
      <c r="A516" t="str">
        <f>"Z5732FC0E6"</f>
        <v>Z5732FC0E6</v>
      </c>
      <c r="B516" t="s">
        <v>30</v>
      </c>
      <c r="C516" t="s">
        <v>1726</v>
      </c>
      <c r="D516" t="s">
        <v>11</v>
      </c>
      <c r="E516" t="s">
        <v>226</v>
      </c>
      <c r="F516" t="s">
        <v>226</v>
      </c>
      <c r="G516" t="s">
        <v>1727</v>
      </c>
      <c r="H516" t="s">
        <v>1728</v>
      </c>
      <c r="I516" t="s">
        <v>1727</v>
      </c>
    </row>
    <row r="517" spans="1:9" x14ac:dyDescent="0.25">
      <c r="A517" t="str">
        <f>"Z9933B01A8"</f>
        <v>Z9933B01A8</v>
      </c>
      <c r="B517" t="s">
        <v>30</v>
      </c>
      <c r="C517" t="s">
        <v>1729</v>
      </c>
      <c r="D517" t="s">
        <v>11</v>
      </c>
      <c r="E517" t="s">
        <v>833</v>
      </c>
      <c r="F517" t="s">
        <v>833</v>
      </c>
      <c r="G517" t="s">
        <v>1730</v>
      </c>
      <c r="H517" t="s">
        <v>1731</v>
      </c>
      <c r="I517" t="s">
        <v>1730</v>
      </c>
    </row>
    <row r="518" spans="1:9" x14ac:dyDescent="0.25">
      <c r="A518" t="str">
        <f>"Z743481E9D"</f>
        <v>Z743481E9D</v>
      </c>
      <c r="B518" t="s">
        <v>30</v>
      </c>
      <c r="C518" t="s">
        <v>1732</v>
      </c>
      <c r="D518" t="s">
        <v>11</v>
      </c>
      <c r="E518" t="s">
        <v>226</v>
      </c>
      <c r="F518" t="s">
        <v>226</v>
      </c>
      <c r="G518" t="s">
        <v>1733</v>
      </c>
      <c r="H518" t="s">
        <v>1734</v>
      </c>
      <c r="I518" t="s">
        <v>1735</v>
      </c>
    </row>
    <row r="519" spans="1:9" x14ac:dyDescent="0.25">
      <c r="A519" t="str">
        <f>"8747826661"</f>
        <v>8747826661</v>
      </c>
      <c r="B519" t="s">
        <v>15</v>
      </c>
      <c r="C519" t="s">
        <v>1736</v>
      </c>
      <c r="D519" t="s">
        <v>11</v>
      </c>
      <c r="E519" t="s">
        <v>1737</v>
      </c>
      <c r="F519" t="s">
        <v>1738</v>
      </c>
      <c r="G519" t="s">
        <v>1739</v>
      </c>
      <c r="H519" t="s">
        <v>1740</v>
      </c>
      <c r="I519" t="s">
        <v>1741</v>
      </c>
    </row>
    <row r="520" spans="1:9" x14ac:dyDescent="0.25">
      <c r="A520" t="str">
        <f>"Z0D3292A28"</f>
        <v>Z0D3292A28</v>
      </c>
      <c r="B520" t="s">
        <v>30</v>
      </c>
      <c r="C520" t="s">
        <v>1742</v>
      </c>
      <c r="D520" t="s">
        <v>11</v>
      </c>
      <c r="E520" t="s">
        <v>226</v>
      </c>
      <c r="F520" t="s">
        <v>226</v>
      </c>
      <c r="G520" t="s">
        <v>1743</v>
      </c>
      <c r="H520" t="s">
        <v>1744</v>
      </c>
      <c r="I520" t="s">
        <v>14</v>
      </c>
    </row>
    <row r="521" spans="1:9" x14ac:dyDescent="0.25">
      <c r="A521" t="str">
        <f>"8786408541"</f>
        <v>8786408541</v>
      </c>
      <c r="B521" t="s">
        <v>15</v>
      </c>
      <c r="C521" t="s">
        <v>1745</v>
      </c>
      <c r="D521" t="s">
        <v>11</v>
      </c>
      <c r="E521" t="s">
        <v>1746</v>
      </c>
      <c r="F521" t="s">
        <v>917</v>
      </c>
      <c r="G521" t="s">
        <v>1747</v>
      </c>
      <c r="H521" t="s">
        <v>1748</v>
      </c>
      <c r="I521" t="s">
        <v>1749</v>
      </c>
    </row>
    <row r="522" spans="1:9" x14ac:dyDescent="0.25">
      <c r="A522" t="str">
        <f>"8791060435"</f>
        <v>8791060435</v>
      </c>
      <c r="B522" t="s">
        <v>15</v>
      </c>
      <c r="C522" t="s">
        <v>1750</v>
      </c>
      <c r="D522" t="s">
        <v>11</v>
      </c>
      <c r="E522" t="s">
        <v>716</v>
      </c>
      <c r="F522" t="s">
        <v>716</v>
      </c>
      <c r="G522" t="s">
        <v>1751</v>
      </c>
      <c r="H522" t="s">
        <v>1752</v>
      </c>
      <c r="I522" t="s">
        <v>14</v>
      </c>
    </row>
    <row r="523" spans="1:9" x14ac:dyDescent="0.25">
      <c r="A523" t="str">
        <f>"ZB9324CABD"</f>
        <v>ZB9324CABD</v>
      </c>
      <c r="B523" t="s">
        <v>30</v>
      </c>
      <c r="C523" t="s">
        <v>1753</v>
      </c>
      <c r="D523" t="s">
        <v>11</v>
      </c>
      <c r="E523" t="s">
        <v>226</v>
      </c>
      <c r="F523" t="s">
        <v>226</v>
      </c>
      <c r="G523" t="s">
        <v>1754</v>
      </c>
      <c r="H523" t="s">
        <v>1755</v>
      </c>
      <c r="I523" t="s">
        <v>14</v>
      </c>
    </row>
    <row r="524" spans="1:9" x14ac:dyDescent="0.25">
      <c r="A524" t="str">
        <f>"8705017746"</f>
        <v>8705017746</v>
      </c>
      <c r="B524" t="s">
        <v>15</v>
      </c>
      <c r="C524" t="s">
        <v>1756</v>
      </c>
      <c r="D524" t="s">
        <v>11</v>
      </c>
      <c r="E524" t="s">
        <v>1757</v>
      </c>
      <c r="F524" t="s">
        <v>295</v>
      </c>
      <c r="G524" t="s">
        <v>1758</v>
      </c>
      <c r="H524" t="s">
        <v>1759</v>
      </c>
      <c r="I524" t="s">
        <v>1760</v>
      </c>
    </row>
    <row r="525" spans="1:9" x14ac:dyDescent="0.25">
      <c r="A525" t="str">
        <f>"Z0D33AFC47"</f>
        <v>Z0D33AFC47</v>
      </c>
      <c r="B525" t="s">
        <v>30</v>
      </c>
      <c r="C525" t="s">
        <v>1761</v>
      </c>
      <c r="D525" t="s">
        <v>11</v>
      </c>
      <c r="E525" t="s">
        <v>837</v>
      </c>
      <c r="F525" t="s">
        <v>837</v>
      </c>
      <c r="G525" t="s">
        <v>1762</v>
      </c>
      <c r="H525" t="s">
        <v>1763</v>
      </c>
      <c r="I525" t="s">
        <v>14</v>
      </c>
    </row>
    <row r="526" spans="1:9" x14ac:dyDescent="0.25">
      <c r="A526" t="str">
        <f>"8776992AEB"</f>
        <v>8776992AEB</v>
      </c>
      <c r="B526" t="s">
        <v>9</v>
      </c>
      <c r="C526" t="s">
        <v>1764</v>
      </c>
      <c r="D526" t="s">
        <v>11</v>
      </c>
      <c r="E526" t="s">
        <v>63</v>
      </c>
      <c r="F526" t="s">
        <v>63</v>
      </c>
      <c r="G526" t="s">
        <v>1765</v>
      </c>
      <c r="H526" t="s">
        <v>1766</v>
      </c>
      <c r="I526" t="s">
        <v>1767</v>
      </c>
    </row>
    <row r="527" spans="1:9" x14ac:dyDescent="0.25">
      <c r="A527" t="str">
        <f>"Z6B33AFB24"</f>
        <v>Z6B33AFB24</v>
      </c>
      <c r="B527" t="s">
        <v>30</v>
      </c>
      <c r="C527" t="s">
        <v>1768</v>
      </c>
      <c r="D527" t="s">
        <v>11</v>
      </c>
      <c r="E527" t="s">
        <v>837</v>
      </c>
      <c r="F527" t="s">
        <v>837</v>
      </c>
      <c r="G527" t="s">
        <v>1769</v>
      </c>
      <c r="H527" t="s">
        <v>1770</v>
      </c>
      <c r="I527" t="s">
        <v>14</v>
      </c>
    </row>
    <row r="528" spans="1:9" x14ac:dyDescent="0.25">
      <c r="A528" t="str">
        <f>"Z68324D252"</f>
        <v>Z68324D252</v>
      </c>
      <c r="B528" t="s">
        <v>30</v>
      </c>
      <c r="C528" t="s">
        <v>1771</v>
      </c>
      <c r="D528" t="s">
        <v>11</v>
      </c>
      <c r="E528" t="s">
        <v>226</v>
      </c>
      <c r="F528" t="s">
        <v>226</v>
      </c>
      <c r="G528" t="s">
        <v>380</v>
      </c>
      <c r="H528" t="s">
        <v>1772</v>
      </c>
      <c r="I528" t="s">
        <v>14</v>
      </c>
    </row>
    <row r="529" spans="1:9" x14ac:dyDescent="0.25">
      <c r="A529" t="str">
        <f>"Z343241F96"</f>
        <v>Z343241F96</v>
      </c>
      <c r="B529" t="s">
        <v>30</v>
      </c>
      <c r="C529" t="s">
        <v>1773</v>
      </c>
      <c r="D529" t="s">
        <v>11</v>
      </c>
      <c r="E529" t="s">
        <v>1774</v>
      </c>
      <c r="F529" t="s">
        <v>1774</v>
      </c>
      <c r="G529" t="s">
        <v>1775</v>
      </c>
      <c r="H529" t="s">
        <v>1776</v>
      </c>
      <c r="I529" t="s">
        <v>1775</v>
      </c>
    </row>
    <row r="530" spans="1:9" x14ac:dyDescent="0.25">
      <c r="A530" t="str">
        <f>"ZE2324EF48"</f>
        <v>ZE2324EF48</v>
      </c>
      <c r="B530" t="s">
        <v>30</v>
      </c>
      <c r="C530" t="s">
        <v>1777</v>
      </c>
      <c r="D530" t="s">
        <v>11</v>
      </c>
      <c r="E530" t="s">
        <v>226</v>
      </c>
      <c r="F530" t="s">
        <v>226</v>
      </c>
      <c r="G530" t="s">
        <v>1778</v>
      </c>
      <c r="H530" t="s">
        <v>1779</v>
      </c>
      <c r="I530" t="s">
        <v>14</v>
      </c>
    </row>
    <row r="531" spans="1:9" x14ac:dyDescent="0.25">
      <c r="A531" t="str">
        <f>"8744191EAC"</f>
        <v>8744191EAC</v>
      </c>
      <c r="B531" t="s">
        <v>274</v>
      </c>
      <c r="C531" t="s">
        <v>1780</v>
      </c>
      <c r="D531" t="s">
        <v>11</v>
      </c>
      <c r="E531" t="s">
        <v>1781</v>
      </c>
      <c r="F531" t="s">
        <v>1781</v>
      </c>
      <c r="G531" t="s">
        <v>1782</v>
      </c>
      <c r="H531" t="s">
        <v>1783</v>
      </c>
      <c r="I531" t="s">
        <v>14</v>
      </c>
    </row>
    <row r="532" spans="1:9" x14ac:dyDescent="0.25">
      <c r="A532" t="str">
        <f>"ZB4334B62E"</f>
        <v>ZB4334B62E</v>
      </c>
      <c r="B532" t="s">
        <v>30</v>
      </c>
      <c r="C532" t="s">
        <v>1784</v>
      </c>
      <c r="D532" t="s">
        <v>11</v>
      </c>
      <c r="E532" t="s">
        <v>837</v>
      </c>
      <c r="F532" t="s">
        <v>837</v>
      </c>
      <c r="G532" t="s">
        <v>1785</v>
      </c>
      <c r="H532" t="s">
        <v>1786</v>
      </c>
      <c r="I532" t="s">
        <v>14</v>
      </c>
    </row>
    <row r="533" spans="1:9" x14ac:dyDescent="0.25">
      <c r="A533" t="str">
        <f>"87147528D9"</f>
        <v>87147528D9</v>
      </c>
      <c r="B533" t="s">
        <v>15</v>
      </c>
      <c r="C533" t="s">
        <v>1787</v>
      </c>
      <c r="D533" t="s">
        <v>26</v>
      </c>
      <c r="E533" t="s">
        <v>1788</v>
      </c>
      <c r="F533" t="s">
        <v>295</v>
      </c>
      <c r="G533" t="s">
        <v>1789</v>
      </c>
      <c r="H533" t="s">
        <v>1790</v>
      </c>
      <c r="I533" t="s">
        <v>1791</v>
      </c>
    </row>
    <row r="534" spans="1:9" x14ac:dyDescent="0.25">
      <c r="A534" t="str">
        <f>"ZEA334B316"</f>
        <v>ZEA334B316</v>
      </c>
      <c r="B534" t="s">
        <v>30</v>
      </c>
      <c r="C534" t="s">
        <v>1792</v>
      </c>
      <c r="D534" t="s">
        <v>11</v>
      </c>
      <c r="E534" t="s">
        <v>837</v>
      </c>
      <c r="F534" t="s">
        <v>837</v>
      </c>
      <c r="G534" t="s">
        <v>1630</v>
      </c>
      <c r="H534" t="s">
        <v>1793</v>
      </c>
      <c r="I534" t="s">
        <v>14</v>
      </c>
    </row>
    <row r="535" spans="1:9" x14ac:dyDescent="0.25">
      <c r="A535" t="str">
        <f>"8710069053"</f>
        <v>8710069053</v>
      </c>
      <c r="B535" t="s">
        <v>15</v>
      </c>
      <c r="C535" t="s">
        <v>1794</v>
      </c>
      <c r="D535" t="s">
        <v>11</v>
      </c>
      <c r="E535" t="s">
        <v>1795</v>
      </c>
      <c r="F535" t="s">
        <v>138</v>
      </c>
      <c r="G535" t="s">
        <v>1796</v>
      </c>
      <c r="H535" t="s">
        <v>1797</v>
      </c>
      <c r="I535" t="s">
        <v>1798</v>
      </c>
    </row>
    <row r="536" spans="1:9" x14ac:dyDescent="0.25">
      <c r="A536" t="str">
        <f>"Z23324EEC9"</f>
        <v>Z23324EEC9</v>
      </c>
      <c r="B536" t="s">
        <v>30</v>
      </c>
      <c r="C536" t="s">
        <v>1799</v>
      </c>
      <c r="D536" t="s">
        <v>11</v>
      </c>
      <c r="E536" t="s">
        <v>226</v>
      </c>
      <c r="F536" t="s">
        <v>226</v>
      </c>
      <c r="G536" t="s">
        <v>1800</v>
      </c>
      <c r="H536" t="s">
        <v>1801</v>
      </c>
      <c r="I536" t="s">
        <v>14</v>
      </c>
    </row>
    <row r="537" spans="1:9" x14ac:dyDescent="0.25">
      <c r="A537" t="str">
        <f>"Z54324EE44"</f>
        <v>Z54324EE44</v>
      </c>
      <c r="B537" t="s">
        <v>30</v>
      </c>
      <c r="C537" t="s">
        <v>1802</v>
      </c>
      <c r="D537" t="s">
        <v>11</v>
      </c>
      <c r="E537" t="s">
        <v>226</v>
      </c>
      <c r="F537" t="s">
        <v>226</v>
      </c>
      <c r="G537" t="s">
        <v>1803</v>
      </c>
      <c r="H537" t="s">
        <v>1801</v>
      </c>
      <c r="I537" t="s">
        <v>14</v>
      </c>
    </row>
    <row r="538" spans="1:9" x14ac:dyDescent="0.25">
      <c r="A538" t="str">
        <f>"Z2A342FB78"</f>
        <v>Z2A342FB78</v>
      </c>
      <c r="B538" t="s">
        <v>30</v>
      </c>
      <c r="C538" t="s">
        <v>1804</v>
      </c>
      <c r="D538" t="s">
        <v>11</v>
      </c>
      <c r="E538" t="s">
        <v>1400</v>
      </c>
      <c r="F538" t="s">
        <v>1400</v>
      </c>
      <c r="G538" t="s">
        <v>1805</v>
      </c>
      <c r="H538" t="s">
        <v>1806</v>
      </c>
      <c r="I538" t="s">
        <v>1807</v>
      </c>
    </row>
    <row r="539" spans="1:9" x14ac:dyDescent="0.25">
      <c r="A539" t="str">
        <f>"ZC83347EC8"</f>
        <v>ZC83347EC8</v>
      </c>
      <c r="B539" t="s">
        <v>30</v>
      </c>
      <c r="C539" t="s">
        <v>1808</v>
      </c>
      <c r="D539" t="s">
        <v>11</v>
      </c>
      <c r="E539" t="s">
        <v>167</v>
      </c>
      <c r="F539" t="s">
        <v>167</v>
      </c>
      <c r="G539" t="s">
        <v>1809</v>
      </c>
      <c r="H539" t="s">
        <v>1810</v>
      </c>
      <c r="I539" t="s">
        <v>14</v>
      </c>
    </row>
    <row r="540" spans="1:9" x14ac:dyDescent="0.25">
      <c r="A540" t="str">
        <f>"Z8F324D111"</f>
        <v>Z8F324D111</v>
      </c>
      <c r="B540" t="s">
        <v>30</v>
      </c>
      <c r="C540" t="s">
        <v>1811</v>
      </c>
      <c r="D540" t="s">
        <v>11</v>
      </c>
      <c r="E540" t="s">
        <v>226</v>
      </c>
      <c r="F540" t="s">
        <v>226</v>
      </c>
      <c r="G540" t="s">
        <v>1405</v>
      </c>
      <c r="H540" t="s">
        <v>1812</v>
      </c>
      <c r="I540" t="s">
        <v>14</v>
      </c>
    </row>
    <row r="541" spans="1:9" x14ac:dyDescent="0.25">
      <c r="A541" t="str">
        <f>"ZCB324CF97"</f>
        <v>ZCB324CF97</v>
      </c>
      <c r="B541" t="s">
        <v>30</v>
      </c>
      <c r="C541" t="s">
        <v>1813</v>
      </c>
      <c r="D541" t="s">
        <v>11</v>
      </c>
      <c r="E541" t="s">
        <v>226</v>
      </c>
      <c r="F541" t="s">
        <v>226</v>
      </c>
      <c r="G541" t="s">
        <v>1237</v>
      </c>
      <c r="H541" t="s">
        <v>1812</v>
      </c>
      <c r="I541" t="s">
        <v>14</v>
      </c>
    </row>
    <row r="542" spans="1:9" x14ac:dyDescent="0.25">
      <c r="A542" t="str">
        <f>"Z5E3267E0D"</f>
        <v>Z5E3267E0D</v>
      </c>
      <c r="B542" t="s">
        <v>30</v>
      </c>
      <c r="C542" t="s">
        <v>1814</v>
      </c>
      <c r="D542" t="s">
        <v>11</v>
      </c>
      <c r="E542" t="s">
        <v>837</v>
      </c>
      <c r="F542" t="s">
        <v>837</v>
      </c>
      <c r="G542" t="s">
        <v>1815</v>
      </c>
      <c r="H542" t="s">
        <v>1816</v>
      </c>
      <c r="I542" t="s">
        <v>14</v>
      </c>
    </row>
    <row r="543" spans="1:9" x14ac:dyDescent="0.25">
      <c r="A543" t="str">
        <f>"ZA6328E595"</f>
        <v>ZA6328E595</v>
      </c>
      <c r="B543" t="s">
        <v>30</v>
      </c>
      <c r="C543" t="s">
        <v>1817</v>
      </c>
      <c r="D543" t="s">
        <v>11</v>
      </c>
      <c r="E543" t="s">
        <v>833</v>
      </c>
      <c r="F543" t="s">
        <v>833</v>
      </c>
      <c r="G543" t="s">
        <v>1818</v>
      </c>
      <c r="H543" t="s">
        <v>1819</v>
      </c>
      <c r="I543" t="s">
        <v>14</v>
      </c>
    </row>
    <row r="544" spans="1:9" x14ac:dyDescent="0.25">
      <c r="A544" t="str">
        <f>"Z50324CADF"</f>
        <v>Z50324CADF</v>
      </c>
      <c r="B544" t="s">
        <v>30</v>
      </c>
      <c r="C544" t="s">
        <v>1820</v>
      </c>
      <c r="D544" t="s">
        <v>11</v>
      </c>
      <c r="E544" t="s">
        <v>226</v>
      </c>
      <c r="F544" t="s">
        <v>226</v>
      </c>
      <c r="G544" t="s">
        <v>422</v>
      </c>
      <c r="H544" t="s">
        <v>1821</v>
      </c>
      <c r="I544" t="s">
        <v>14</v>
      </c>
    </row>
    <row r="545" spans="1:9" x14ac:dyDescent="0.25">
      <c r="A545" t="str">
        <f>"Z1F324CF50"</f>
        <v>Z1F324CF50</v>
      </c>
      <c r="B545" t="s">
        <v>30</v>
      </c>
      <c r="C545" t="s">
        <v>1822</v>
      </c>
      <c r="D545" t="s">
        <v>11</v>
      </c>
      <c r="E545" t="s">
        <v>226</v>
      </c>
      <c r="F545" t="s">
        <v>226</v>
      </c>
      <c r="G545" t="s">
        <v>1288</v>
      </c>
      <c r="H545" t="s">
        <v>1821</v>
      </c>
      <c r="I545" t="s">
        <v>14</v>
      </c>
    </row>
    <row r="546" spans="1:9" x14ac:dyDescent="0.25">
      <c r="A546" t="str">
        <f>"Z933267CA6"</f>
        <v>Z933267CA6</v>
      </c>
      <c r="B546" t="s">
        <v>30</v>
      </c>
      <c r="C546" t="s">
        <v>1823</v>
      </c>
      <c r="D546" t="s">
        <v>11</v>
      </c>
      <c r="E546" t="s">
        <v>837</v>
      </c>
      <c r="F546" t="s">
        <v>837</v>
      </c>
      <c r="G546" t="s">
        <v>1824</v>
      </c>
      <c r="H546" t="s">
        <v>1825</v>
      </c>
      <c r="I546" t="s">
        <v>14</v>
      </c>
    </row>
    <row r="547" spans="1:9" x14ac:dyDescent="0.25">
      <c r="A547" t="str">
        <f>"Z0830FCB2A"</f>
        <v>Z0830FCB2A</v>
      </c>
      <c r="B547" t="s">
        <v>30</v>
      </c>
      <c r="C547" t="s">
        <v>1826</v>
      </c>
      <c r="D547" t="s">
        <v>11</v>
      </c>
      <c r="E547" t="s">
        <v>1827</v>
      </c>
      <c r="F547" t="s">
        <v>1827</v>
      </c>
      <c r="G547" t="s">
        <v>1828</v>
      </c>
      <c r="H547" t="s">
        <v>1829</v>
      </c>
      <c r="I547" t="s">
        <v>1830</v>
      </c>
    </row>
    <row r="548" spans="1:9" x14ac:dyDescent="0.25">
      <c r="A548" t="str">
        <f>"84694413D0"</f>
        <v>84694413D0</v>
      </c>
      <c r="B548" t="s">
        <v>15</v>
      </c>
      <c r="C548" t="s">
        <v>1831</v>
      </c>
      <c r="D548" t="s">
        <v>11</v>
      </c>
      <c r="E548" t="s">
        <v>1832</v>
      </c>
      <c r="F548" t="s">
        <v>589</v>
      </c>
      <c r="G548" t="s">
        <v>1833</v>
      </c>
      <c r="H548" t="s">
        <v>1834</v>
      </c>
      <c r="I548" t="s">
        <v>1835</v>
      </c>
    </row>
    <row r="549" spans="1:9" x14ac:dyDescent="0.25">
      <c r="A549" t="str">
        <f>"8631151B1E"</f>
        <v>8631151B1E</v>
      </c>
      <c r="B549" t="s">
        <v>24</v>
      </c>
      <c r="C549" t="s">
        <v>364</v>
      </c>
      <c r="D549" t="s">
        <v>11</v>
      </c>
      <c r="E549" t="s">
        <v>1836</v>
      </c>
      <c r="F549" t="s">
        <v>205</v>
      </c>
      <c r="G549" t="s">
        <v>1837</v>
      </c>
      <c r="H549" t="s">
        <v>1838</v>
      </c>
      <c r="I549" t="s">
        <v>1839</v>
      </c>
    </row>
    <row r="550" spans="1:9" x14ac:dyDescent="0.25">
      <c r="A550" t="str">
        <f>"ZF23239D69"</f>
        <v>ZF23239D69</v>
      </c>
      <c r="B550" t="s">
        <v>30</v>
      </c>
      <c r="C550" t="s">
        <v>1840</v>
      </c>
      <c r="D550" t="s">
        <v>11</v>
      </c>
      <c r="E550" t="s">
        <v>837</v>
      </c>
      <c r="F550" t="s">
        <v>837</v>
      </c>
      <c r="G550" t="s">
        <v>1841</v>
      </c>
      <c r="H550" t="s">
        <v>1842</v>
      </c>
      <c r="I550" t="s">
        <v>14</v>
      </c>
    </row>
    <row r="551" spans="1:9" x14ac:dyDescent="0.25">
      <c r="A551" t="str">
        <f>"Z24324CEB3"</f>
        <v>Z24324CEB3</v>
      </c>
      <c r="B551" t="s">
        <v>30</v>
      </c>
      <c r="C551" t="s">
        <v>1843</v>
      </c>
      <c r="D551" t="s">
        <v>11</v>
      </c>
      <c r="E551" t="s">
        <v>226</v>
      </c>
      <c r="F551" t="s">
        <v>226</v>
      </c>
      <c r="G551" t="s">
        <v>227</v>
      </c>
      <c r="H551" t="s">
        <v>1844</v>
      </c>
      <c r="I551" t="s">
        <v>14</v>
      </c>
    </row>
    <row r="552" spans="1:9" x14ac:dyDescent="0.25">
      <c r="A552" t="str">
        <f>"Z0E342FBC4"</f>
        <v>Z0E342FBC4</v>
      </c>
      <c r="B552" t="s">
        <v>30</v>
      </c>
      <c r="C552" t="s">
        <v>1845</v>
      </c>
      <c r="D552" t="s">
        <v>11</v>
      </c>
      <c r="E552" t="s">
        <v>1400</v>
      </c>
      <c r="F552" t="s">
        <v>1400</v>
      </c>
      <c r="G552" t="s">
        <v>1846</v>
      </c>
      <c r="H552" t="s">
        <v>1847</v>
      </c>
      <c r="I552" t="s">
        <v>1848</v>
      </c>
    </row>
    <row r="553" spans="1:9" x14ac:dyDescent="0.25">
      <c r="A553" t="str">
        <f>"Z09324CB58"</f>
        <v>Z09324CB58</v>
      </c>
      <c r="B553" t="s">
        <v>30</v>
      </c>
      <c r="C553" t="s">
        <v>1849</v>
      </c>
      <c r="D553" t="s">
        <v>11</v>
      </c>
      <c r="E553" t="s">
        <v>226</v>
      </c>
      <c r="F553" t="s">
        <v>226</v>
      </c>
      <c r="G553" t="s">
        <v>227</v>
      </c>
      <c r="H553" t="s">
        <v>1850</v>
      </c>
      <c r="I553" t="s">
        <v>14</v>
      </c>
    </row>
    <row r="554" spans="1:9" x14ac:dyDescent="0.25">
      <c r="A554" t="str">
        <f>"ZC3320EB3D"</f>
        <v>ZC3320EB3D</v>
      </c>
      <c r="B554" t="s">
        <v>30</v>
      </c>
      <c r="C554" t="s">
        <v>1851</v>
      </c>
      <c r="D554" t="s">
        <v>11</v>
      </c>
      <c r="E554" t="s">
        <v>569</v>
      </c>
      <c r="F554" t="s">
        <v>569</v>
      </c>
      <c r="G554" t="s">
        <v>1852</v>
      </c>
      <c r="H554" t="s">
        <v>1853</v>
      </c>
      <c r="I554" t="s">
        <v>14</v>
      </c>
    </row>
    <row r="555" spans="1:9" x14ac:dyDescent="0.25">
      <c r="A555" t="str">
        <f>"Z81324CA5A"</f>
        <v>Z81324CA5A</v>
      </c>
      <c r="B555" t="s">
        <v>30</v>
      </c>
      <c r="C555" t="s">
        <v>1854</v>
      </c>
      <c r="D555" t="s">
        <v>11</v>
      </c>
      <c r="E555" t="s">
        <v>226</v>
      </c>
      <c r="F555" t="s">
        <v>226</v>
      </c>
      <c r="G555" t="s">
        <v>422</v>
      </c>
      <c r="H555" t="s">
        <v>1855</v>
      </c>
      <c r="I555" t="s">
        <v>14</v>
      </c>
    </row>
    <row r="556" spans="1:9" x14ac:dyDescent="0.25">
      <c r="A556" t="str">
        <f>"Z4B324CA81"</f>
        <v>Z4B324CA81</v>
      </c>
      <c r="B556" t="s">
        <v>30</v>
      </c>
      <c r="C556" t="s">
        <v>1856</v>
      </c>
      <c r="D556" t="s">
        <v>11</v>
      </c>
      <c r="E556" t="s">
        <v>226</v>
      </c>
      <c r="F556" t="s">
        <v>226</v>
      </c>
      <c r="G556" t="s">
        <v>1223</v>
      </c>
      <c r="H556" t="s">
        <v>1855</v>
      </c>
      <c r="I556" t="s">
        <v>14</v>
      </c>
    </row>
    <row r="557" spans="1:9" x14ac:dyDescent="0.25">
      <c r="A557" t="str">
        <f>"ZC33295E27"</f>
        <v>ZC33295E27</v>
      </c>
      <c r="B557" t="s">
        <v>30</v>
      </c>
      <c r="C557" t="s">
        <v>1857</v>
      </c>
      <c r="D557" t="s">
        <v>11</v>
      </c>
      <c r="E557" t="s">
        <v>226</v>
      </c>
      <c r="F557" t="s">
        <v>226</v>
      </c>
      <c r="G557" t="s">
        <v>1454</v>
      </c>
      <c r="H557" t="s">
        <v>1855</v>
      </c>
      <c r="I557" t="s">
        <v>14</v>
      </c>
    </row>
    <row r="558" spans="1:9" x14ac:dyDescent="0.25">
      <c r="A558" t="str">
        <f>"8533125D80"</f>
        <v>8533125D80</v>
      </c>
      <c r="B558" t="s">
        <v>15</v>
      </c>
      <c r="C558" t="s">
        <v>1858</v>
      </c>
      <c r="D558" t="s">
        <v>11</v>
      </c>
      <c r="E558" t="s">
        <v>1859</v>
      </c>
      <c r="F558" t="s">
        <v>1860</v>
      </c>
      <c r="G558" t="s">
        <v>1861</v>
      </c>
      <c r="H558" t="s">
        <v>1862</v>
      </c>
      <c r="I558" t="s">
        <v>1863</v>
      </c>
    </row>
    <row r="559" spans="1:9" x14ac:dyDescent="0.25">
      <c r="A559" t="str">
        <f>"Z163295D9B"</f>
        <v>Z163295D9B</v>
      </c>
      <c r="B559" t="s">
        <v>30</v>
      </c>
      <c r="C559" t="s">
        <v>1864</v>
      </c>
      <c r="D559" t="s">
        <v>11</v>
      </c>
      <c r="E559" t="s">
        <v>226</v>
      </c>
      <c r="F559" t="s">
        <v>226</v>
      </c>
      <c r="G559" t="s">
        <v>1800</v>
      </c>
      <c r="H559" t="s">
        <v>1865</v>
      </c>
      <c r="I559" t="s">
        <v>14</v>
      </c>
    </row>
    <row r="560" spans="1:9" x14ac:dyDescent="0.25">
      <c r="A560" t="str">
        <f>"Z823239CA3"</f>
        <v>Z823239CA3</v>
      </c>
      <c r="B560" t="s">
        <v>30</v>
      </c>
      <c r="C560" t="s">
        <v>1866</v>
      </c>
      <c r="D560" t="s">
        <v>11</v>
      </c>
      <c r="E560" t="s">
        <v>837</v>
      </c>
      <c r="F560" t="s">
        <v>837</v>
      </c>
      <c r="G560" t="s">
        <v>1867</v>
      </c>
      <c r="H560" t="s">
        <v>1868</v>
      </c>
      <c r="I560" t="s">
        <v>14</v>
      </c>
    </row>
    <row r="561" spans="1:9" x14ac:dyDescent="0.25">
      <c r="A561" t="str">
        <f>"8557746B65"</f>
        <v>8557746B65</v>
      </c>
      <c r="B561" t="s">
        <v>15</v>
      </c>
      <c r="C561" t="s">
        <v>1869</v>
      </c>
      <c r="D561" t="s">
        <v>11</v>
      </c>
      <c r="E561" t="s">
        <v>1870</v>
      </c>
      <c r="F561" t="s">
        <v>138</v>
      </c>
      <c r="G561" t="s">
        <v>1871</v>
      </c>
      <c r="H561" t="s">
        <v>1872</v>
      </c>
      <c r="I561" t="s">
        <v>1873</v>
      </c>
    </row>
    <row r="562" spans="1:9" x14ac:dyDescent="0.25">
      <c r="A562" t="str">
        <f>"Z68319067A"</f>
        <v>Z68319067A</v>
      </c>
      <c r="B562" t="s">
        <v>30</v>
      </c>
      <c r="C562" t="s">
        <v>1874</v>
      </c>
      <c r="D562" t="s">
        <v>11</v>
      </c>
      <c r="E562" t="s">
        <v>1875</v>
      </c>
      <c r="F562" t="s">
        <v>1875</v>
      </c>
      <c r="G562" t="s">
        <v>1876</v>
      </c>
      <c r="H562" t="s">
        <v>1877</v>
      </c>
      <c r="I562" t="s">
        <v>14</v>
      </c>
    </row>
    <row r="563" spans="1:9" x14ac:dyDescent="0.25">
      <c r="A563" t="str">
        <f>"ZF331281ED"</f>
        <v>ZF331281ED</v>
      </c>
      <c r="B563" t="s">
        <v>30</v>
      </c>
      <c r="C563" t="s">
        <v>1878</v>
      </c>
      <c r="D563" t="s">
        <v>11</v>
      </c>
      <c r="E563" t="s">
        <v>226</v>
      </c>
      <c r="F563" t="s">
        <v>226</v>
      </c>
      <c r="G563" t="s">
        <v>1803</v>
      </c>
      <c r="H563" t="s">
        <v>1879</v>
      </c>
      <c r="I563" t="s">
        <v>14</v>
      </c>
    </row>
    <row r="564" spans="1:9" x14ac:dyDescent="0.25">
      <c r="A564" t="str">
        <f>"8558504CEA"</f>
        <v>8558504CEA</v>
      </c>
      <c r="B564" t="s">
        <v>15</v>
      </c>
      <c r="C564" t="s">
        <v>1880</v>
      </c>
      <c r="D564" t="s">
        <v>11</v>
      </c>
      <c r="E564" t="s">
        <v>1881</v>
      </c>
      <c r="F564" t="s">
        <v>343</v>
      </c>
      <c r="G564" t="s">
        <v>1882</v>
      </c>
      <c r="H564" t="s">
        <v>1883</v>
      </c>
      <c r="I564" t="s">
        <v>1884</v>
      </c>
    </row>
    <row r="565" spans="1:9" x14ac:dyDescent="0.25">
      <c r="A565" t="str">
        <f>"8558386B8A"</f>
        <v>8558386B8A</v>
      </c>
      <c r="B565" t="s">
        <v>15</v>
      </c>
      <c r="C565" t="s">
        <v>1885</v>
      </c>
      <c r="D565" t="s">
        <v>11</v>
      </c>
      <c r="E565" t="s">
        <v>1886</v>
      </c>
      <c r="F565" t="s">
        <v>343</v>
      </c>
      <c r="G565" t="s">
        <v>1309</v>
      </c>
      <c r="H565" t="s">
        <v>1883</v>
      </c>
      <c r="I565" t="s">
        <v>1887</v>
      </c>
    </row>
    <row r="566" spans="1:9" x14ac:dyDescent="0.25">
      <c r="A566" t="str">
        <f>"856056628B"</f>
        <v>856056628B</v>
      </c>
      <c r="B566" t="s">
        <v>15</v>
      </c>
      <c r="C566" t="s">
        <v>1888</v>
      </c>
      <c r="D566" t="s">
        <v>11</v>
      </c>
      <c r="E566" t="s">
        <v>1889</v>
      </c>
      <c r="F566" t="s">
        <v>343</v>
      </c>
      <c r="G566" t="s">
        <v>1890</v>
      </c>
      <c r="H566" t="s">
        <v>1883</v>
      </c>
      <c r="I566" t="s">
        <v>1891</v>
      </c>
    </row>
    <row r="567" spans="1:9" x14ac:dyDescent="0.25">
      <c r="A567" t="str">
        <f>"Z4D3128053"</f>
        <v>Z4D3128053</v>
      </c>
      <c r="B567" t="s">
        <v>30</v>
      </c>
      <c r="C567" t="s">
        <v>1892</v>
      </c>
      <c r="D567" t="s">
        <v>11</v>
      </c>
      <c r="E567" t="s">
        <v>226</v>
      </c>
      <c r="F567" t="s">
        <v>226</v>
      </c>
      <c r="G567" t="s">
        <v>1708</v>
      </c>
      <c r="H567" t="s">
        <v>1893</v>
      </c>
      <c r="I567" t="s">
        <v>14</v>
      </c>
    </row>
    <row r="568" spans="1:9" x14ac:dyDescent="0.25">
      <c r="A568" t="str">
        <f>"Z8D3175C24"</f>
        <v>Z8D3175C24</v>
      </c>
      <c r="B568" t="s">
        <v>30</v>
      </c>
      <c r="C568" t="s">
        <v>1894</v>
      </c>
      <c r="D568" t="s">
        <v>11</v>
      </c>
      <c r="E568" t="s">
        <v>569</v>
      </c>
      <c r="F568" t="s">
        <v>569</v>
      </c>
      <c r="G568" t="s">
        <v>1895</v>
      </c>
      <c r="H568" t="s">
        <v>1896</v>
      </c>
      <c r="I568" t="s">
        <v>14</v>
      </c>
    </row>
    <row r="569" spans="1:9" x14ac:dyDescent="0.25">
      <c r="A569" t="str">
        <f>"Z8E3162C77"</f>
        <v>Z8E3162C77</v>
      </c>
      <c r="B569" t="s">
        <v>30</v>
      </c>
      <c r="C569" t="s">
        <v>1897</v>
      </c>
      <c r="D569" t="s">
        <v>11</v>
      </c>
      <c r="E569" t="s">
        <v>1875</v>
      </c>
      <c r="F569" t="s">
        <v>1875</v>
      </c>
      <c r="G569" t="s">
        <v>1898</v>
      </c>
      <c r="H569" t="s">
        <v>1899</v>
      </c>
      <c r="I569" t="s">
        <v>14</v>
      </c>
    </row>
    <row r="570" spans="1:9" x14ac:dyDescent="0.25">
      <c r="A570" t="str">
        <f>"ZB63127F36"</f>
        <v>ZB63127F36</v>
      </c>
      <c r="B570" t="s">
        <v>30</v>
      </c>
      <c r="C570" t="s">
        <v>1900</v>
      </c>
      <c r="D570" t="s">
        <v>11</v>
      </c>
      <c r="E570" t="s">
        <v>226</v>
      </c>
      <c r="F570" t="s">
        <v>226</v>
      </c>
      <c r="G570" t="s">
        <v>422</v>
      </c>
      <c r="H570" t="s">
        <v>1901</v>
      </c>
      <c r="I570" t="s">
        <v>14</v>
      </c>
    </row>
    <row r="571" spans="1:9" x14ac:dyDescent="0.25">
      <c r="A571" t="str">
        <f>"Z263190751"</f>
        <v>Z263190751</v>
      </c>
      <c r="B571" t="s">
        <v>30</v>
      </c>
      <c r="C571" t="s">
        <v>1902</v>
      </c>
      <c r="D571" t="s">
        <v>11</v>
      </c>
      <c r="E571" t="s">
        <v>837</v>
      </c>
      <c r="F571" t="s">
        <v>837</v>
      </c>
      <c r="G571" t="s">
        <v>1903</v>
      </c>
      <c r="H571" t="s">
        <v>1904</v>
      </c>
      <c r="I571" t="s">
        <v>14</v>
      </c>
    </row>
    <row r="572" spans="1:9" x14ac:dyDescent="0.25">
      <c r="A572" t="str">
        <f>"Z1C3127AF6"</f>
        <v>Z1C3127AF6</v>
      </c>
      <c r="B572" t="s">
        <v>30</v>
      </c>
      <c r="C572" t="s">
        <v>1905</v>
      </c>
      <c r="D572" t="s">
        <v>11</v>
      </c>
      <c r="E572" t="s">
        <v>226</v>
      </c>
      <c r="F572" t="s">
        <v>226</v>
      </c>
      <c r="G572" t="s">
        <v>1906</v>
      </c>
      <c r="H572" t="s">
        <v>1907</v>
      </c>
      <c r="I572" t="s">
        <v>14</v>
      </c>
    </row>
    <row r="573" spans="1:9" x14ac:dyDescent="0.25">
      <c r="A573" t="str">
        <f>"ZF7312810B"</f>
        <v>ZF7312810B</v>
      </c>
      <c r="B573" t="s">
        <v>30</v>
      </c>
      <c r="C573" t="s">
        <v>1908</v>
      </c>
      <c r="D573" t="s">
        <v>11</v>
      </c>
      <c r="E573" t="s">
        <v>226</v>
      </c>
      <c r="F573" t="s">
        <v>226</v>
      </c>
      <c r="G573" t="s">
        <v>1345</v>
      </c>
      <c r="H573" t="s">
        <v>1909</v>
      </c>
      <c r="I573" t="s">
        <v>14</v>
      </c>
    </row>
    <row r="574" spans="1:9" x14ac:dyDescent="0.25">
      <c r="A574" t="str">
        <f>"Z643181E02"</f>
        <v>Z643181E02</v>
      </c>
      <c r="B574" t="s">
        <v>30</v>
      </c>
      <c r="C574" t="s">
        <v>1910</v>
      </c>
      <c r="D574" t="s">
        <v>11</v>
      </c>
      <c r="E574" t="s">
        <v>1911</v>
      </c>
      <c r="F574" t="s">
        <v>1911</v>
      </c>
      <c r="G574" t="s">
        <v>1912</v>
      </c>
      <c r="H574" t="s">
        <v>1913</v>
      </c>
      <c r="I574" t="s">
        <v>14</v>
      </c>
    </row>
    <row r="575" spans="1:9" x14ac:dyDescent="0.25">
      <c r="A575" t="str">
        <f>"8495581738"</f>
        <v>8495581738</v>
      </c>
      <c r="B575" t="s">
        <v>15</v>
      </c>
      <c r="C575" t="s">
        <v>1914</v>
      </c>
      <c r="D575" t="s">
        <v>11</v>
      </c>
      <c r="E575" t="s">
        <v>1915</v>
      </c>
      <c r="F575" t="s">
        <v>63</v>
      </c>
      <c r="G575" t="s">
        <v>1916</v>
      </c>
      <c r="H575" t="s">
        <v>1917</v>
      </c>
      <c r="I575" t="s">
        <v>1918</v>
      </c>
    </row>
    <row r="576" spans="1:9" x14ac:dyDescent="0.25">
      <c r="A576" t="str">
        <f>"ZAD3175AF6"</f>
        <v>ZAD3175AF6</v>
      </c>
      <c r="B576" t="s">
        <v>30</v>
      </c>
      <c r="C576" t="s">
        <v>1919</v>
      </c>
      <c r="D576" t="s">
        <v>11</v>
      </c>
      <c r="E576" t="s">
        <v>569</v>
      </c>
      <c r="F576" t="s">
        <v>569</v>
      </c>
      <c r="G576" t="s">
        <v>742</v>
      </c>
      <c r="H576" t="s">
        <v>1920</v>
      </c>
      <c r="I576" t="s">
        <v>14</v>
      </c>
    </row>
    <row r="577" spans="1:9" x14ac:dyDescent="0.25">
      <c r="A577" t="str">
        <f>"8500939CC6"</f>
        <v>8500939CC6</v>
      </c>
      <c r="B577" t="s">
        <v>9</v>
      </c>
      <c r="C577" t="s">
        <v>1921</v>
      </c>
      <c r="D577" t="s">
        <v>11</v>
      </c>
      <c r="E577" t="s">
        <v>1922</v>
      </c>
      <c r="F577" t="s">
        <v>1923</v>
      </c>
      <c r="G577" t="s">
        <v>1924</v>
      </c>
      <c r="H577" t="s">
        <v>1925</v>
      </c>
      <c r="I577" t="s">
        <v>14</v>
      </c>
    </row>
    <row r="578" spans="1:9" x14ac:dyDescent="0.25">
      <c r="A578" t="str">
        <f>"Z693162D47"</f>
        <v>Z693162D47</v>
      </c>
      <c r="B578" t="s">
        <v>30</v>
      </c>
      <c r="C578" t="s">
        <v>1926</v>
      </c>
      <c r="D578" t="s">
        <v>11</v>
      </c>
      <c r="E578" t="s">
        <v>1875</v>
      </c>
      <c r="F578" t="s">
        <v>1875</v>
      </c>
      <c r="G578" t="s">
        <v>1927</v>
      </c>
      <c r="H578" t="s">
        <v>1928</v>
      </c>
      <c r="I578" t="s">
        <v>14</v>
      </c>
    </row>
    <row r="579" spans="1:9" x14ac:dyDescent="0.25">
      <c r="A579" t="str">
        <f>"ZF43175A7D"</f>
        <v>ZF43175A7D</v>
      </c>
      <c r="B579" t="s">
        <v>30</v>
      </c>
      <c r="C579" t="s">
        <v>1929</v>
      </c>
      <c r="D579" t="s">
        <v>11</v>
      </c>
      <c r="E579" t="s">
        <v>569</v>
      </c>
      <c r="F579" t="s">
        <v>569</v>
      </c>
      <c r="G579" t="s">
        <v>1930</v>
      </c>
      <c r="H579" t="s">
        <v>1931</v>
      </c>
      <c r="I579" t="s">
        <v>14</v>
      </c>
    </row>
    <row r="580" spans="1:9" x14ac:dyDescent="0.25">
      <c r="A580" t="str">
        <f>"ZA93175BD8"</f>
        <v>ZA93175BD8</v>
      </c>
      <c r="B580" t="s">
        <v>30</v>
      </c>
      <c r="C580" t="s">
        <v>1932</v>
      </c>
      <c r="D580" t="s">
        <v>11</v>
      </c>
      <c r="E580" t="s">
        <v>569</v>
      </c>
      <c r="F580" t="s">
        <v>569</v>
      </c>
      <c r="G580" t="s">
        <v>1933</v>
      </c>
      <c r="H580" t="s">
        <v>1931</v>
      </c>
      <c r="I580" t="s">
        <v>14</v>
      </c>
    </row>
    <row r="581" spans="1:9" x14ac:dyDescent="0.25">
      <c r="A581" t="str">
        <f>"8554901F9F"</f>
        <v>8554901F9F</v>
      </c>
      <c r="B581" t="s">
        <v>15</v>
      </c>
      <c r="C581" t="s">
        <v>1934</v>
      </c>
      <c r="D581" t="s">
        <v>11</v>
      </c>
      <c r="E581" t="s">
        <v>1935</v>
      </c>
      <c r="F581" t="s">
        <v>1533</v>
      </c>
      <c r="G581" t="s">
        <v>1936</v>
      </c>
      <c r="H581" t="s">
        <v>1937</v>
      </c>
      <c r="I581" t="s">
        <v>1938</v>
      </c>
    </row>
    <row r="582" spans="1:9" x14ac:dyDescent="0.25">
      <c r="A582" t="str">
        <f>"Z813127DAC"</f>
        <v>Z813127DAC</v>
      </c>
      <c r="B582" t="s">
        <v>30</v>
      </c>
      <c r="C582" t="s">
        <v>1939</v>
      </c>
      <c r="D582" t="s">
        <v>11</v>
      </c>
      <c r="E582" t="s">
        <v>226</v>
      </c>
      <c r="F582" t="s">
        <v>226</v>
      </c>
      <c r="G582" t="s">
        <v>380</v>
      </c>
      <c r="H582" t="s">
        <v>1940</v>
      </c>
      <c r="I582" t="s">
        <v>14</v>
      </c>
    </row>
    <row r="583" spans="1:9" x14ac:dyDescent="0.25">
      <c r="A583" t="str">
        <f>"Z863127D0F"</f>
        <v>Z863127D0F</v>
      </c>
      <c r="B583" t="s">
        <v>30</v>
      </c>
      <c r="C583" t="s">
        <v>1941</v>
      </c>
      <c r="D583" t="s">
        <v>11</v>
      </c>
      <c r="E583" t="s">
        <v>226</v>
      </c>
      <c r="F583" t="s">
        <v>226</v>
      </c>
      <c r="G583" t="s">
        <v>1942</v>
      </c>
      <c r="H583" t="s">
        <v>1943</v>
      </c>
      <c r="I583" t="s">
        <v>14</v>
      </c>
    </row>
    <row r="584" spans="1:9" x14ac:dyDescent="0.25">
      <c r="A584" t="str">
        <f>"Z0431205B3"</f>
        <v>Z0431205B3</v>
      </c>
      <c r="B584" t="s">
        <v>30</v>
      </c>
      <c r="C584" t="s">
        <v>1944</v>
      </c>
      <c r="D584" t="s">
        <v>11</v>
      </c>
      <c r="E584" t="s">
        <v>837</v>
      </c>
      <c r="F584" t="s">
        <v>837</v>
      </c>
      <c r="G584" t="s">
        <v>1945</v>
      </c>
      <c r="H584" t="s">
        <v>1946</v>
      </c>
      <c r="I584" t="s">
        <v>14</v>
      </c>
    </row>
    <row r="585" spans="1:9" x14ac:dyDescent="0.25">
      <c r="A585" t="str">
        <f>"865159520D"</f>
        <v>865159520D</v>
      </c>
      <c r="B585" t="s">
        <v>15</v>
      </c>
      <c r="C585" t="s">
        <v>1947</v>
      </c>
      <c r="D585" t="s">
        <v>11</v>
      </c>
      <c r="E585" t="s">
        <v>1948</v>
      </c>
      <c r="F585" t="s">
        <v>1948</v>
      </c>
      <c r="G585" t="s">
        <v>1051</v>
      </c>
      <c r="H585" t="s">
        <v>1949</v>
      </c>
      <c r="I585" t="s">
        <v>1051</v>
      </c>
    </row>
    <row r="586" spans="1:9" x14ac:dyDescent="0.25">
      <c r="A586" t="str">
        <f>"Z843267D82"</f>
        <v>Z843267D82</v>
      </c>
      <c r="B586" t="s">
        <v>30</v>
      </c>
      <c r="C586" t="s">
        <v>1950</v>
      </c>
      <c r="D586" t="s">
        <v>11</v>
      </c>
      <c r="E586" t="s">
        <v>837</v>
      </c>
      <c r="F586" t="s">
        <v>837</v>
      </c>
      <c r="G586" t="s">
        <v>1951</v>
      </c>
      <c r="H586" t="s">
        <v>1952</v>
      </c>
      <c r="I586" t="s">
        <v>14</v>
      </c>
    </row>
    <row r="587" spans="1:9" x14ac:dyDescent="0.25">
      <c r="A587" t="str">
        <f>"Z303162BA4"</f>
        <v>Z303162BA4</v>
      </c>
      <c r="B587" t="s">
        <v>30</v>
      </c>
      <c r="C587" t="s">
        <v>1953</v>
      </c>
      <c r="D587" t="s">
        <v>11</v>
      </c>
      <c r="E587" t="s">
        <v>1875</v>
      </c>
      <c r="F587" t="s">
        <v>1875</v>
      </c>
      <c r="G587" t="s">
        <v>1954</v>
      </c>
      <c r="H587" t="s">
        <v>1955</v>
      </c>
      <c r="I587" t="s">
        <v>14</v>
      </c>
    </row>
    <row r="588" spans="1:9" x14ac:dyDescent="0.25">
      <c r="A588" t="str">
        <f>"Z253127D63"</f>
        <v>Z253127D63</v>
      </c>
      <c r="B588" t="s">
        <v>30</v>
      </c>
      <c r="C588" t="s">
        <v>1956</v>
      </c>
      <c r="D588" t="s">
        <v>11</v>
      </c>
      <c r="E588" t="s">
        <v>226</v>
      </c>
      <c r="F588" t="s">
        <v>226</v>
      </c>
      <c r="G588" t="s">
        <v>1337</v>
      </c>
      <c r="H588" t="s">
        <v>1957</v>
      </c>
      <c r="I588" t="s">
        <v>14</v>
      </c>
    </row>
    <row r="589" spans="1:9" x14ac:dyDescent="0.25">
      <c r="A589" t="str">
        <f>"Z623127C2E"</f>
        <v>Z623127C2E</v>
      </c>
      <c r="B589" t="s">
        <v>30</v>
      </c>
      <c r="C589" t="s">
        <v>1958</v>
      </c>
      <c r="D589" t="s">
        <v>11</v>
      </c>
      <c r="E589" t="s">
        <v>226</v>
      </c>
      <c r="F589" t="s">
        <v>226</v>
      </c>
      <c r="G589" t="s">
        <v>966</v>
      </c>
      <c r="H589" t="s">
        <v>1959</v>
      </c>
      <c r="I589" t="s">
        <v>14</v>
      </c>
    </row>
    <row r="590" spans="1:9" x14ac:dyDescent="0.25">
      <c r="A590" t="str">
        <f>"Z913127929"</f>
        <v>Z913127929</v>
      </c>
      <c r="B590" t="s">
        <v>30</v>
      </c>
      <c r="C590" t="s">
        <v>1960</v>
      </c>
      <c r="D590" t="s">
        <v>11</v>
      </c>
      <c r="E590" t="s">
        <v>226</v>
      </c>
      <c r="F590" t="s">
        <v>226</v>
      </c>
      <c r="G590" t="s">
        <v>1961</v>
      </c>
      <c r="H590" t="s">
        <v>1962</v>
      </c>
      <c r="I590" t="s">
        <v>14</v>
      </c>
    </row>
    <row r="591" spans="1:9" x14ac:dyDescent="0.25">
      <c r="A591" t="str">
        <f>"Z1E312825D"</f>
        <v>Z1E312825D</v>
      </c>
      <c r="B591" t="s">
        <v>30</v>
      </c>
      <c r="C591" t="s">
        <v>1963</v>
      </c>
      <c r="D591" t="s">
        <v>11</v>
      </c>
      <c r="E591" t="s">
        <v>226</v>
      </c>
      <c r="F591" t="s">
        <v>226</v>
      </c>
      <c r="G591" t="s">
        <v>1830</v>
      </c>
      <c r="H591" t="s">
        <v>1964</v>
      </c>
      <c r="I591" t="s">
        <v>14</v>
      </c>
    </row>
    <row r="592" spans="1:9" x14ac:dyDescent="0.25">
      <c r="A592" t="str">
        <f>"Z01316309F"</f>
        <v>Z01316309F</v>
      </c>
      <c r="B592" t="s">
        <v>30</v>
      </c>
      <c r="C592" t="s">
        <v>1965</v>
      </c>
      <c r="D592" t="s">
        <v>11</v>
      </c>
      <c r="E592" t="s">
        <v>1875</v>
      </c>
      <c r="F592" t="s">
        <v>1875</v>
      </c>
      <c r="G592" t="s">
        <v>1966</v>
      </c>
      <c r="H592" t="s">
        <v>1967</v>
      </c>
      <c r="I592" t="s">
        <v>14</v>
      </c>
    </row>
    <row r="593" spans="1:9" x14ac:dyDescent="0.25">
      <c r="A593" t="str">
        <f>"8495490C1E"</f>
        <v>8495490C1E</v>
      </c>
      <c r="B593" t="s">
        <v>15</v>
      </c>
      <c r="C593" t="s">
        <v>1968</v>
      </c>
      <c r="D593" t="s">
        <v>11</v>
      </c>
      <c r="E593" t="s">
        <v>1969</v>
      </c>
      <c r="F593" t="s">
        <v>63</v>
      </c>
      <c r="G593" t="s">
        <v>1970</v>
      </c>
      <c r="H593" t="s">
        <v>1971</v>
      </c>
      <c r="I593" t="s">
        <v>1972</v>
      </c>
    </row>
    <row r="594" spans="1:9" x14ac:dyDescent="0.25">
      <c r="A594" t="str">
        <f>"8404731B6C"</f>
        <v>8404731B6C</v>
      </c>
      <c r="B594" t="s">
        <v>15</v>
      </c>
      <c r="C594" t="s">
        <v>1973</v>
      </c>
      <c r="D594" t="s">
        <v>11</v>
      </c>
      <c r="H594" t="s">
        <v>1974</v>
      </c>
      <c r="I594" t="s">
        <v>14</v>
      </c>
    </row>
    <row r="595" spans="1:9" x14ac:dyDescent="0.25">
      <c r="A595" t="str">
        <f>"Z99320EAB4"</f>
        <v>Z99320EAB4</v>
      </c>
      <c r="B595" t="s">
        <v>30</v>
      </c>
      <c r="C595" t="s">
        <v>1975</v>
      </c>
      <c r="D595" t="s">
        <v>11</v>
      </c>
      <c r="E595" t="s">
        <v>569</v>
      </c>
      <c r="F595" t="s">
        <v>569</v>
      </c>
      <c r="G595" t="s">
        <v>1976</v>
      </c>
      <c r="H595" t="s">
        <v>1977</v>
      </c>
      <c r="I595" t="s">
        <v>14</v>
      </c>
    </row>
    <row r="596" spans="1:9" x14ac:dyDescent="0.25">
      <c r="A596" t="str">
        <f>"Z263162FCF"</f>
        <v>Z263162FCF</v>
      </c>
      <c r="B596" t="s">
        <v>30</v>
      </c>
      <c r="C596" t="s">
        <v>1978</v>
      </c>
      <c r="D596" t="s">
        <v>11</v>
      </c>
      <c r="E596" t="s">
        <v>1875</v>
      </c>
      <c r="F596" t="s">
        <v>1875</v>
      </c>
      <c r="G596" t="s">
        <v>1979</v>
      </c>
      <c r="H596" t="s">
        <v>1980</v>
      </c>
      <c r="I596" t="s">
        <v>14</v>
      </c>
    </row>
    <row r="597" spans="1:9" x14ac:dyDescent="0.25">
      <c r="A597" t="str">
        <f>"85012773B6"</f>
        <v>85012773B6</v>
      </c>
      <c r="B597" t="s">
        <v>24</v>
      </c>
      <c r="C597" t="s">
        <v>1981</v>
      </c>
      <c r="D597" t="s">
        <v>17</v>
      </c>
      <c r="E597" t="s">
        <v>284</v>
      </c>
      <c r="F597" t="s">
        <v>284</v>
      </c>
      <c r="G597" t="s">
        <v>1982</v>
      </c>
      <c r="H597" t="s">
        <v>1983</v>
      </c>
      <c r="I597" t="s">
        <v>1984</v>
      </c>
    </row>
    <row r="598" spans="1:9" x14ac:dyDescent="0.25">
      <c r="A598" t="str">
        <f>"846966195B"</f>
        <v>846966195B</v>
      </c>
      <c r="B598" t="s">
        <v>15</v>
      </c>
      <c r="C598" t="s">
        <v>1985</v>
      </c>
      <c r="D598" t="s">
        <v>11</v>
      </c>
      <c r="E598" t="s">
        <v>1986</v>
      </c>
      <c r="F598" t="s">
        <v>850</v>
      </c>
      <c r="G598" t="s">
        <v>1987</v>
      </c>
      <c r="H598" t="s">
        <v>1983</v>
      </c>
      <c r="I598" t="s">
        <v>1988</v>
      </c>
    </row>
    <row r="599" spans="1:9" x14ac:dyDescent="0.25">
      <c r="A599" t="str">
        <f>"822406484D"</f>
        <v>822406484D</v>
      </c>
      <c r="B599" t="s">
        <v>24</v>
      </c>
      <c r="C599" t="s">
        <v>1989</v>
      </c>
      <c r="D599" t="s">
        <v>26</v>
      </c>
      <c r="E599" t="s">
        <v>1990</v>
      </c>
      <c r="F599" t="s">
        <v>1991</v>
      </c>
      <c r="G599" t="s">
        <v>1992</v>
      </c>
      <c r="H599" t="s">
        <v>1993</v>
      </c>
      <c r="I599" t="s">
        <v>1994</v>
      </c>
    </row>
    <row r="600" spans="1:9" x14ac:dyDescent="0.25">
      <c r="A600" t="str">
        <f>"ZD93122C7B"</f>
        <v>ZD93122C7B</v>
      </c>
      <c r="B600" t="s">
        <v>30</v>
      </c>
      <c r="C600" t="s">
        <v>1995</v>
      </c>
      <c r="D600" t="s">
        <v>11</v>
      </c>
      <c r="E600" t="s">
        <v>837</v>
      </c>
      <c r="F600" t="s">
        <v>837</v>
      </c>
      <c r="G600" t="s">
        <v>1996</v>
      </c>
      <c r="H600" t="s">
        <v>1997</v>
      </c>
      <c r="I600" t="s">
        <v>14</v>
      </c>
    </row>
    <row r="601" spans="1:9" x14ac:dyDescent="0.25">
      <c r="A601" t="str">
        <f>"Z4530B364C"</f>
        <v>Z4530B364C</v>
      </c>
      <c r="B601" t="s">
        <v>30</v>
      </c>
      <c r="C601" t="s">
        <v>1998</v>
      </c>
      <c r="D601" t="s">
        <v>11</v>
      </c>
      <c r="E601" t="s">
        <v>569</v>
      </c>
      <c r="F601" t="s">
        <v>569</v>
      </c>
      <c r="G601" t="s">
        <v>1999</v>
      </c>
      <c r="H601" t="s">
        <v>2000</v>
      </c>
      <c r="I601" t="s">
        <v>14</v>
      </c>
    </row>
    <row r="602" spans="1:9" x14ac:dyDescent="0.25">
      <c r="A602" t="str">
        <f>"8562901970"</f>
        <v>8562901970</v>
      </c>
      <c r="B602" t="s">
        <v>15</v>
      </c>
      <c r="C602" t="s">
        <v>2001</v>
      </c>
      <c r="D602" t="s">
        <v>11</v>
      </c>
      <c r="E602" t="s">
        <v>2002</v>
      </c>
      <c r="F602" t="s">
        <v>960</v>
      </c>
      <c r="G602" t="s">
        <v>2003</v>
      </c>
      <c r="H602" t="s">
        <v>2004</v>
      </c>
      <c r="I602" t="s">
        <v>2005</v>
      </c>
    </row>
    <row r="603" spans="1:9" x14ac:dyDescent="0.25">
      <c r="A603" t="str">
        <f>"84917150E7"</f>
        <v>84917150E7</v>
      </c>
      <c r="B603" t="s">
        <v>24</v>
      </c>
      <c r="C603" t="s">
        <v>304</v>
      </c>
      <c r="D603" t="s">
        <v>17</v>
      </c>
      <c r="E603" t="s">
        <v>305</v>
      </c>
      <c r="F603" t="s">
        <v>305</v>
      </c>
      <c r="G603" t="s">
        <v>2006</v>
      </c>
      <c r="H603" t="s">
        <v>2007</v>
      </c>
      <c r="I603" t="s">
        <v>2008</v>
      </c>
    </row>
    <row r="604" spans="1:9" x14ac:dyDescent="0.25">
      <c r="A604" t="str">
        <f>"ZE93181D94"</f>
        <v>ZE93181D94</v>
      </c>
      <c r="B604" t="s">
        <v>30</v>
      </c>
      <c r="C604" t="s">
        <v>2009</v>
      </c>
      <c r="D604" t="s">
        <v>11</v>
      </c>
      <c r="E604" t="s">
        <v>1911</v>
      </c>
      <c r="F604" t="s">
        <v>1911</v>
      </c>
      <c r="G604" t="s">
        <v>2010</v>
      </c>
      <c r="H604" t="s">
        <v>2011</v>
      </c>
      <c r="I604" t="s">
        <v>14</v>
      </c>
    </row>
    <row r="605" spans="1:9" x14ac:dyDescent="0.25">
      <c r="A605" t="str">
        <f>"Z453181E7A"</f>
        <v>Z453181E7A</v>
      </c>
      <c r="B605" t="s">
        <v>30</v>
      </c>
      <c r="C605" t="s">
        <v>2012</v>
      </c>
      <c r="D605" t="s">
        <v>11</v>
      </c>
      <c r="E605" t="s">
        <v>1911</v>
      </c>
      <c r="F605" t="s">
        <v>1911</v>
      </c>
      <c r="G605" t="s">
        <v>2013</v>
      </c>
      <c r="H605" t="s">
        <v>2011</v>
      </c>
      <c r="I605" t="s">
        <v>14</v>
      </c>
    </row>
    <row r="606" spans="1:9" x14ac:dyDescent="0.25">
      <c r="A606" t="str">
        <f>"850984309A"</f>
        <v>850984309A</v>
      </c>
      <c r="B606" t="s">
        <v>24</v>
      </c>
      <c r="C606" t="s">
        <v>2014</v>
      </c>
      <c r="D606" t="s">
        <v>17</v>
      </c>
      <c r="E606" t="s">
        <v>340</v>
      </c>
      <c r="F606" t="s">
        <v>340</v>
      </c>
      <c r="G606" t="s">
        <v>2015</v>
      </c>
      <c r="H606" t="s">
        <v>2016</v>
      </c>
      <c r="I606" t="s">
        <v>2017</v>
      </c>
    </row>
    <row r="607" spans="1:9" x14ac:dyDescent="0.25">
      <c r="A607" t="str">
        <f>"Z973127CBD"</f>
        <v>Z973127CBD</v>
      </c>
      <c r="B607" t="s">
        <v>30</v>
      </c>
      <c r="C607" t="s">
        <v>2018</v>
      </c>
      <c r="D607" t="s">
        <v>11</v>
      </c>
      <c r="E607" t="s">
        <v>226</v>
      </c>
      <c r="F607" t="s">
        <v>226</v>
      </c>
      <c r="G607" t="s">
        <v>422</v>
      </c>
      <c r="H607" t="s">
        <v>2019</v>
      </c>
      <c r="I607" t="s">
        <v>14</v>
      </c>
    </row>
    <row r="608" spans="1:9" x14ac:dyDescent="0.25">
      <c r="A608" t="str">
        <f>"Z083190DF0"</f>
        <v>Z083190DF0</v>
      </c>
      <c r="B608" t="s">
        <v>30</v>
      </c>
      <c r="C608" t="s">
        <v>2020</v>
      </c>
      <c r="D608" t="s">
        <v>11</v>
      </c>
      <c r="E608" t="s">
        <v>1875</v>
      </c>
      <c r="F608" t="s">
        <v>1875</v>
      </c>
      <c r="G608" t="s">
        <v>2021</v>
      </c>
      <c r="H608" t="s">
        <v>2022</v>
      </c>
      <c r="I608" t="s">
        <v>14</v>
      </c>
    </row>
    <row r="609" spans="1:9" x14ac:dyDescent="0.25">
      <c r="A609" t="str">
        <f>"853532877B"</f>
        <v>853532877B</v>
      </c>
      <c r="B609" t="s">
        <v>15</v>
      </c>
      <c r="C609" t="s">
        <v>2023</v>
      </c>
      <c r="D609" t="s">
        <v>11</v>
      </c>
      <c r="E609" t="s">
        <v>2024</v>
      </c>
      <c r="F609" t="s">
        <v>122</v>
      </c>
      <c r="G609" t="s">
        <v>2025</v>
      </c>
      <c r="H609" t="s">
        <v>2026</v>
      </c>
      <c r="I609" t="s">
        <v>2027</v>
      </c>
    </row>
    <row r="610" spans="1:9" x14ac:dyDescent="0.25">
      <c r="A610" t="str">
        <f>"8305189AC4"</f>
        <v>8305189AC4</v>
      </c>
      <c r="B610" t="s">
        <v>15</v>
      </c>
      <c r="C610" t="s">
        <v>2028</v>
      </c>
      <c r="D610" t="s">
        <v>11</v>
      </c>
      <c r="E610" t="s">
        <v>2029</v>
      </c>
      <c r="F610" t="s">
        <v>295</v>
      </c>
      <c r="G610" t="s">
        <v>2030</v>
      </c>
      <c r="H610" t="s">
        <v>2031</v>
      </c>
      <c r="I610" t="s">
        <v>2032</v>
      </c>
    </row>
    <row r="611" spans="1:9" x14ac:dyDescent="0.25">
      <c r="A611" t="str">
        <f>"8533186FD6"</f>
        <v>8533186FD6</v>
      </c>
      <c r="B611" t="s">
        <v>15</v>
      </c>
      <c r="C611" t="s">
        <v>2033</v>
      </c>
      <c r="D611" t="s">
        <v>11</v>
      </c>
      <c r="E611" t="s">
        <v>2034</v>
      </c>
      <c r="F611" t="s">
        <v>1860</v>
      </c>
      <c r="G611" t="s">
        <v>2035</v>
      </c>
      <c r="H611" t="s">
        <v>2036</v>
      </c>
      <c r="I611" t="s">
        <v>2037</v>
      </c>
    </row>
    <row r="612" spans="1:9" x14ac:dyDescent="0.25">
      <c r="A612" t="str">
        <f>"ZD831204FE"</f>
        <v>ZD831204FE</v>
      </c>
      <c r="B612" t="s">
        <v>30</v>
      </c>
      <c r="C612" t="s">
        <v>2038</v>
      </c>
      <c r="D612" t="s">
        <v>11</v>
      </c>
      <c r="E612" t="s">
        <v>837</v>
      </c>
      <c r="F612" t="s">
        <v>837</v>
      </c>
      <c r="G612" t="s">
        <v>2039</v>
      </c>
      <c r="H612" t="s">
        <v>2040</v>
      </c>
      <c r="I612" t="s">
        <v>14</v>
      </c>
    </row>
    <row r="613" spans="1:9" x14ac:dyDescent="0.25">
      <c r="A613" t="str">
        <f>"845314189F"</f>
        <v>845314189F</v>
      </c>
      <c r="B613" t="s">
        <v>15</v>
      </c>
      <c r="C613" t="s">
        <v>2041</v>
      </c>
      <c r="D613" t="s">
        <v>11</v>
      </c>
      <c r="E613" t="s">
        <v>2042</v>
      </c>
      <c r="F613" t="s">
        <v>2043</v>
      </c>
      <c r="G613" t="s">
        <v>2044</v>
      </c>
      <c r="H613" t="s">
        <v>2045</v>
      </c>
      <c r="I613" t="s">
        <v>2046</v>
      </c>
    </row>
    <row r="614" spans="1:9" x14ac:dyDescent="0.25">
      <c r="A614" t="str">
        <f>"Z8230B3612"</f>
        <v>Z8230B3612</v>
      </c>
      <c r="B614" t="s">
        <v>30</v>
      </c>
      <c r="C614" t="s">
        <v>2047</v>
      </c>
      <c r="D614" t="s">
        <v>11</v>
      </c>
      <c r="E614" t="s">
        <v>1875</v>
      </c>
      <c r="F614" t="s">
        <v>1875</v>
      </c>
      <c r="G614" t="s">
        <v>2048</v>
      </c>
      <c r="H614" t="s">
        <v>2049</v>
      </c>
      <c r="I614" t="s">
        <v>14</v>
      </c>
    </row>
    <row r="615" spans="1:9" x14ac:dyDescent="0.25">
      <c r="A615" t="str">
        <f>"ZBC306A938"</f>
        <v>ZBC306A938</v>
      </c>
      <c r="B615" t="s">
        <v>30</v>
      </c>
      <c r="C615" t="s">
        <v>2050</v>
      </c>
      <c r="D615" t="s">
        <v>11</v>
      </c>
      <c r="E615" t="s">
        <v>569</v>
      </c>
      <c r="F615" t="s">
        <v>569</v>
      </c>
      <c r="G615" t="s">
        <v>2051</v>
      </c>
      <c r="H615" t="s">
        <v>2052</v>
      </c>
      <c r="I615" t="s">
        <v>14</v>
      </c>
    </row>
    <row r="616" spans="1:9" x14ac:dyDescent="0.25">
      <c r="A616" t="str">
        <f>"8561066F24"</f>
        <v>8561066F24</v>
      </c>
      <c r="B616" t="s">
        <v>15</v>
      </c>
      <c r="C616" t="s">
        <v>2053</v>
      </c>
      <c r="D616" t="s">
        <v>11</v>
      </c>
      <c r="E616" t="s">
        <v>2054</v>
      </c>
      <c r="F616" t="s">
        <v>397</v>
      </c>
      <c r="G616" t="s">
        <v>2055</v>
      </c>
      <c r="H616" t="s">
        <v>2056</v>
      </c>
      <c r="I616" t="s">
        <v>2057</v>
      </c>
    </row>
    <row r="617" spans="1:9" x14ac:dyDescent="0.25">
      <c r="A617" t="str">
        <f>"Z713127861"</f>
        <v>Z713127861</v>
      </c>
      <c r="B617" t="s">
        <v>30</v>
      </c>
      <c r="C617" t="s">
        <v>2058</v>
      </c>
      <c r="D617" t="s">
        <v>11</v>
      </c>
      <c r="E617" t="s">
        <v>226</v>
      </c>
      <c r="F617" t="s">
        <v>226</v>
      </c>
      <c r="G617" t="s">
        <v>1417</v>
      </c>
      <c r="H617" t="s">
        <v>2059</v>
      </c>
      <c r="I617" t="s">
        <v>14</v>
      </c>
    </row>
    <row r="618" spans="1:9" x14ac:dyDescent="0.25">
      <c r="A618" t="str">
        <f>"8458109C57"</f>
        <v>8458109C57</v>
      </c>
      <c r="B618" t="s">
        <v>15</v>
      </c>
      <c r="C618" t="s">
        <v>2060</v>
      </c>
      <c r="D618" t="s">
        <v>11</v>
      </c>
      <c r="E618" t="s">
        <v>2061</v>
      </c>
      <c r="F618" t="s">
        <v>138</v>
      </c>
      <c r="G618" t="s">
        <v>2062</v>
      </c>
      <c r="H618" t="s">
        <v>2063</v>
      </c>
      <c r="I618" t="s">
        <v>2064</v>
      </c>
    </row>
    <row r="619" spans="1:9" x14ac:dyDescent="0.25">
      <c r="A619" t="str">
        <f>"ZEF3162C23"</f>
        <v>ZEF3162C23</v>
      </c>
      <c r="B619" t="s">
        <v>30</v>
      </c>
      <c r="C619" t="s">
        <v>2065</v>
      </c>
      <c r="D619" t="s">
        <v>11</v>
      </c>
      <c r="E619" t="s">
        <v>1875</v>
      </c>
      <c r="F619" t="s">
        <v>1875</v>
      </c>
      <c r="G619" t="s">
        <v>2066</v>
      </c>
      <c r="H619" t="s">
        <v>2067</v>
      </c>
      <c r="I619" t="s">
        <v>14</v>
      </c>
    </row>
    <row r="620" spans="1:9" x14ac:dyDescent="0.25">
      <c r="A620" t="str">
        <f>"Z3830B35BC"</f>
        <v>Z3830B35BC</v>
      </c>
      <c r="B620" t="s">
        <v>30</v>
      </c>
      <c r="C620" t="s">
        <v>2068</v>
      </c>
      <c r="D620" t="s">
        <v>11</v>
      </c>
      <c r="E620" t="s">
        <v>1875</v>
      </c>
      <c r="F620" t="s">
        <v>1875</v>
      </c>
      <c r="G620" t="s">
        <v>2069</v>
      </c>
      <c r="H620" t="s">
        <v>2067</v>
      </c>
      <c r="I620" t="s">
        <v>14</v>
      </c>
    </row>
    <row r="621" spans="1:9" x14ac:dyDescent="0.25">
      <c r="A621" t="str">
        <f>"Z5030B3557"</f>
        <v>Z5030B3557</v>
      </c>
      <c r="B621" t="s">
        <v>30</v>
      </c>
      <c r="C621" t="s">
        <v>2070</v>
      </c>
      <c r="D621" t="s">
        <v>11</v>
      </c>
      <c r="E621" t="s">
        <v>1875</v>
      </c>
      <c r="F621" t="s">
        <v>1875</v>
      </c>
      <c r="G621" t="s">
        <v>2071</v>
      </c>
      <c r="H621" t="s">
        <v>2072</v>
      </c>
      <c r="I621" t="s">
        <v>14</v>
      </c>
    </row>
    <row r="622" spans="1:9" x14ac:dyDescent="0.25">
      <c r="A622" t="str">
        <f>"ZF83162E90"</f>
        <v>ZF83162E90</v>
      </c>
      <c r="B622" t="s">
        <v>30</v>
      </c>
      <c r="C622" t="s">
        <v>2073</v>
      </c>
      <c r="D622" t="s">
        <v>11</v>
      </c>
      <c r="E622" t="s">
        <v>167</v>
      </c>
      <c r="F622" t="s">
        <v>167</v>
      </c>
      <c r="G622" t="s">
        <v>2074</v>
      </c>
      <c r="H622" t="s">
        <v>2075</v>
      </c>
      <c r="I622" t="s">
        <v>2076</v>
      </c>
    </row>
    <row r="623" spans="1:9" x14ac:dyDescent="0.25">
      <c r="A623" t="str">
        <f>"Z96328F8CD"</f>
        <v>Z96328F8CD</v>
      </c>
      <c r="B623" t="s">
        <v>30</v>
      </c>
      <c r="C623" t="s">
        <v>2077</v>
      </c>
      <c r="D623" t="s">
        <v>11</v>
      </c>
      <c r="E623" t="s">
        <v>1911</v>
      </c>
      <c r="F623" t="s">
        <v>1911</v>
      </c>
      <c r="G623" t="s">
        <v>2078</v>
      </c>
      <c r="H623" t="s">
        <v>2079</v>
      </c>
      <c r="I623" t="s">
        <v>14</v>
      </c>
    </row>
    <row r="624" spans="1:9" x14ac:dyDescent="0.25">
      <c r="A624" t="str">
        <f>"ZC8328F88D"</f>
        <v>ZC8328F88D</v>
      </c>
      <c r="B624" t="s">
        <v>30</v>
      </c>
      <c r="C624" t="s">
        <v>2080</v>
      </c>
      <c r="D624" t="s">
        <v>11</v>
      </c>
      <c r="E624" t="s">
        <v>1875</v>
      </c>
      <c r="F624" t="s">
        <v>1875</v>
      </c>
      <c r="G624" t="s">
        <v>2081</v>
      </c>
      <c r="H624" t="s">
        <v>2079</v>
      </c>
      <c r="I624" t="s">
        <v>14</v>
      </c>
    </row>
    <row r="625" spans="1:9" x14ac:dyDescent="0.25">
      <c r="A625" t="str">
        <f>"Z8134BEDC3"</f>
        <v>Z8134BEDC3</v>
      </c>
      <c r="B625" t="s">
        <v>30</v>
      </c>
      <c r="C625" t="s">
        <v>2082</v>
      </c>
      <c r="D625" t="s">
        <v>11</v>
      </c>
      <c r="E625" t="s">
        <v>226</v>
      </c>
      <c r="F625" t="s">
        <v>226</v>
      </c>
      <c r="G625" t="s">
        <v>2083</v>
      </c>
      <c r="H625" t="s">
        <v>2084</v>
      </c>
      <c r="I625" t="s">
        <v>2085</v>
      </c>
    </row>
    <row r="626" spans="1:9" x14ac:dyDescent="0.25">
      <c r="A626" t="str">
        <f>"ZEF328F847"</f>
        <v>ZEF328F847</v>
      </c>
      <c r="B626" t="s">
        <v>30</v>
      </c>
      <c r="C626" t="s">
        <v>2086</v>
      </c>
      <c r="D626" t="s">
        <v>11</v>
      </c>
      <c r="E626" t="s">
        <v>569</v>
      </c>
      <c r="F626" t="s">
        <v>569</v>
      </c>
      <c r="G626" t="s">
        <v>2087</v>
      </c>
      <c r="H626" t="s">
        <v>2079</v>
      </c>
      <c r="I626" t="s">
        <v>14</v>
      </c>
    </row>
    <row r="627" spans="1:9" x14ac:dyDescent="0.25">
      <c r="A627" t="str">
        <f>"Z5B3292A97"</f>
        <v>Z5B3292A97</v>
      </c>
      <c r="B627" t="s">
        <v>30</v>
      </c>
      <c r="C627" t="s">
        <v>2088</v>
      </c>
      <c r="D627" t="s">
        <v>11</v>
      </c>
      <c r="E627" t="s">
        <v>226</v>
      </c>
      <c r="F627" t="s">
        <v>226</v>
      </c>
      <c r="G627" t="s">
        <v>1733</v>
      </c>
      <c r="H627" t="s">
        <v>2075</v>
      </c>
      <c r="I627" t="s">
        <v>14</v>
      </c>
    </row>
    <row r="628" spans="1:9" x14ac:dyDescent="0.25">
      <c r="A628" t="str">
        <f>"8378057F56"</f>
        <v>8378057F56</v>
      </c>
      <c r="B628" t="s">
        <v>15</v>
      </c>
      <c r="C628" t="s">
        <v>2089</v>
      </c>
      <c r="D628" t="s">
        <v>11</v>
      </c>
      <c r="E628" t="s">
        <v>2090</v>
      </c>
      <c r="F628" t="s">
        <v>138</v>
      </c>
      <c r="G628" t="s">
        <v>2091</v>
      </c>
      <c r="H628" t="s">
        <v>2092</v>
      </c>
      <c r="I628" t="s">
        <v>2093</v>
      </c>
    </row>
    <row r="629" spans="1:9" x14ac:dyDescent="0.25">
      <c r="A629" t="str">
        <f>"8251191A35"</f>
        <v>8251191A35</v>
      </c>
      <c r="B629" t="s">
        <v>24</v>
      </c>
      <c r="C629" t="s">
        <v>2094</v>
      </c>
      <c r="D629" t="s">
        <v>26</v>
      </c>
      <c r="E629" t="s">
        <v>2095</v>
      </c>
      <c r="F629" t="s">
        <v>850</v>
      </c>
      <c r="G629" t="s">
        <v>2096</v>
      </c>
      <c r="H629" t="s">
        <v>2097</v>
      </c>
      <c r="I629" t="s">
        <v>2098</v>
      </c>
    </row>
    <row r="630" spans="1:9" x14ac:dyDescent="0.25">
      <c r="A630" t="str">
        <f>"Z823025F26"</f>
        <v>Z823025F26</v>
      </c>
      <c r="B630" t="s">
        <v>30</v>
      </c>
      <c r="C630" t="s">
        <v>2099</v>
      </c>
      <c r="D630" t="s">
        <v>11</v>
      </c>
      <c r="E630" t="s">
        <v>1875</v>
      </c>
      <c r="F630" t="s">
        <v>1875</v>
      </c>
      <c r="G630" t="s">
        <v>2100</v>
      </c>
      <c r="H630" t="s">
        <v>2101</v>
      </c>
      <c r="I630" t="s">
        <v>14</v>
      </c>
    </row>
    <row r="631" spans="1:9" x14ac:dyDescent="0.25">
      <c r="A631" t="str">
        <f>"Z2530BEFCE"</f>
        <v>Z2530BEFCE</v>
      </c>
      <c r="B631" t="s">
        <v>30</v>
      </c>
      <c r="C631" t="s">
        <v>2102</v>
      </c>
      <c r="D631" t="s">
        <v>11</v>
      </c>
      <c r="E631" t="s">
        <v>837</v>
      </c>
      <c r="F631" t="s">
        <v>837</v>
      </c>
      <c r="G631" t="s">
        <v>2103</v>
      </c>
      <c r="H631" t="s">
        <v>2104</v>
      </c>
      <c r="I631" t="s">
        <v>14</v>
      </c>
    </row>
    <row r="632" spans="1:9" x14ac:dyDescent="0.25">
      <c r="A632" t="str">
        <f>"8259082A11"</f>
        <v>8259082A11</v>
      </c>
      <c r="B632" t="s">
        <v>24</v>
      </c>
      <c r="C632" t="s">
        <v>2105</v>
      </c>
      <c r="D632" t="s">
        <v>26</v>
      </c>
      <c r="E632" t="s">
        <v>2106</v>
      </c>
      <c r="F632" t="s">
        <v>98</v>
      </c>
      <c r="G632" t="s">
        <v>2107</v>
      </c>
      <c r="H632" t="s">
        <v>2108</v>
      </c>
      <c r="I632" t="s">
        <v>2109</v>
      </c>
    </row>
    <row r="633" spans="1:9" x14ac:dyDescent="0.25">
      <c r="A633" t="str">
        <f>"8495339F81"</f>
        <v>8495339F81</v>
      </c>
      <c r="B633" t="s">
        <v>15</v>
      </c>
      <c r="C633" t="s">
        <v>2110</v>
      </c>
      <c r="D633" t="s">
        <v>11</v>
      </c>
      <c r="E633" t="s">
        <v>2111</v>
      </c>
      <c r="F633" t="s">
        <v>63</v>
      </c>
      <c r="G633" t="s">
        <v>2112</v>
      </c>
      <c r="H633" t="s">
        <v>2113</v>
      </c>
      <c r="I633" t="s">
        <v>14</v>
      </c>
    </row>
    <row r="634" spans="1:9" x14ac:dyDescent="0.25">
      <c r="A634" t="str">
        <f>"8495533F99"</f>
        <v>8495533F99</v>
      </c>
      <c r="B634" t="s">
        <v>15</v>
      </c>
      <c r="C634" t="s">
        <v>2114</v>
      </c>
      <c r="D634" t="s">
        <v>11</v>
      </c>
      <c r="E634" t="s">
        <v>2115</v>
      </c>
      <c r="F634" t="s">
        <v>305</v>
      </c>
      <c r="G634" t="s">
        <v>2116</v>
      </c>
      <c r="H634" t="s">
        <v>2117</v>
      </c>
      <c r="I634" t="s">
        <v>14</v>
      </c>
    </row>
    <row r="635" spans="1:9" x14ac:dyDescent="0.25">
      <c r="A635" t="str">
        <f>"8495559511"</f>
        <v>8495559511</v>
      </c>
      <c r="B635" t="s">
        <v>15</v>
      </c>
      <c r="C635" t="s">
        <v>2118</v>
      </c>
      <c r="D635" t="s">
        <v>11</v>
      </c>
      <c r="E635" t="s">
        <v>2119</v>
      </c>
      <c r="F635" t="s">
        <v>1860</v>
      </c>
      <c r="G635" t="s">
        <v>533</v>
      </c>
      <c r="H635" t="s">
        <v>2117</v>
      </c>
      <c r="I635" t="s">
        <v>951</v>
      </c>
    </row>
    <row r="636" spans="1:9" x14ac:dyDescent="0.25">
      <c r="A636" t="str">
        <f>"8466320448"</f>
        <v>8466320448</v>
      </c>
      <c r="B636" t="s">
        <v>15</v>
      </c>
      <c r="C636" t="s">
        <v>2120</v>
      </c>
      <c r="D636" t="s">
        <v>11</v>
      </c>
      <c r="E636" t="s">
        <v>2121</v>
      </c>
      <c r="F636" t="s">
        <v>489</v>
      </c>
      <c r="G636" t="s">
        <v>2122</v>
      </c>
      <c r="H636" t="s">
        <v>2123</v>
      </c>
      <c r="I636" t="s">
        <v>2124</v>
      </c>
    </row>
    <row r="637" spans="1:9" x14ac:dyDescent="0.25">
      <c r="A637" t="str">
        <f>"8466640C58"</f>
        <v>8466640C58</v>
      </c>
      <c r="B637" t="s">
        <v>15</v>
      </c>
      <c r="C637" t="s">
        <v>2125</v>
      </c>
      <c r="D637" t="s">
        <v>17</v>
      </c>
      <c r="E637" t="s">
        <v>177</v>
      </c>
      <c r="F637" t="s">
        <v>177</v>
      </c>
      <c r="G637" t="s">
        <v>2126</v>
      </c>
      <c r="H637" t="s">
        <v>2127</v>
      </c>
      <c r="I637" t="s">
        <v>2128</v>
      </c>
    </row>
    <row r="638" spans="1:9" x14ac:dyDescent="0.25">
      <c r="A638" t="str">
        <f>"Z1F31759F2"</f>
        <v>Z1F31759F2</v>
      </c>
      <c r="B638" t="s">
        <v>30</v>
      </c>
      <c r="C638" t="s">
        <v>2129</v>
      </c>
      <c r="D638" t="s">
        <v>11</v>
      </c>
      <c r="E638" t="s">
        <v>167</v>
      </c>
      <c r="F638" t="s">
        <v>167</v>
      </c>
      <c r="G638" t="s">
        <v>2130</v>
      </c>
      <c r="H638" t="s">
        <v>2131</v>
      </c>
      <c r="I638" t="s">
        <v>14</v>
      </c>
    </row>
    <row r="639" spans="1:9" x14ac:dyDescent="0.25">
      <c r="A639" t="str">
        <f>"Z9431D0FFC"</f>
        <v>Z9431D0FFC</v>
      </c>
      <c r="B639" t="s">
        <v>30</v>
      </c>
      <c r="C639" t="s">
        <v>2132</v>
      </c>
      <c r="D639" t="s">
        <v>11</v>
      </c>
      <c r="E639" t="s">
        <v>167</v>
      </c>
      <c r="F639" t="s">
        <v>167</v>
      </c>
      <c r="G639" t="s">
        <v>2133</v>
      </c>
      <c r="H639" t="s">
        <v>2134</v>
      </c>
      <c r="I639" t="s">
        <v>14</v>
      </c>
    </row>
    <row r="640" spans="1:9" x14ac:dyDescent="0.25">
      <c r="A640" t="str">
        <f>"Z5B3175973"</f>
        <v>Z5B3175973</v>
      </c>
      <c r="B640" t="s">
        <v>30</v>
      </c>
      <c r="C640" t="s">
        <v>2135</v>
      </c>
      <c r="D640" t="s">
        <v>11</v>
      </c>
      <c r="E640" t="s">
        <v>167</v>
      </c>
      <c r="F640" t="s">
        <v>167</v>
      </c>
      <c r="G640" t="s">
        <v>2136</v>
      </c>
      <c r="H640" t="s">
        <v>2131</v>
      </c>
      <c r="I640" t="s">
        <v>2136</v>
      </c>
    </row>
    <row r="641" spans="1:9" x14ac:dyDescent="0.25">
      <c r="A641" t="str">
        <f>"8224057288"</f>
        <v>8224057288</v>
      </c>
      <c r="B641" t="s">
        <v>24</v>
      </c>
      <c r="C641" t="s">
        <v>2137</v>
      </c>
      <c r="D641" t="s">
        <v>26</v>
      </c>
      <c r="E641" t="s">
        <v>2138</v>
      </c>
      <c r="F641" t="s">
        <v>1991</v>
      </c>
      <c r="G641" t="s">
        <v>2139</v>
      </c>
      <c r="H641" t="s">
        <v>2140</v>
      </c>
      <c r="I641" t="s">
        <v>2141</v>
      </c>
    </row>
    <row r="642" spans="1:9" x14ac:dyDescent="0.25">
      <c r="A642" t="str">
        <f>"Z573060B98"</f>
        <v>Z573060B98</v>
      </c>
      <c r="B642" t="s">
        <v>30</v>
      </c>
      <c r="C642" t="s">
        <v>2142</v>
      </c>
      <c r="D642" t="s">
        <v>11</v>
      </c>
      <c r="E642" t="s">
        <v>167</v>
      </c>
      <c r="F642" t="s">
        <v>167</v>
      </c>
      <c r="G642" t="s">
        <v>2143</v>
      </c>
      <c r="H642" t="s">
        <v>2144</v>
      </c>
      <c r="I642" t="s">
        <v>14</v>
      </c>
    </row>
    <row r="643" spans="1:9" x14ac:dyDescent="0.25">
      <c r="A643" t="str">
        <f>"Z6E3025DAE"</f>
        <v>Z6E3025DAE</v>
      </c>
      <c r="B643" t="s">
        <v>30</v>
      </c>
      <c r="C643" t="s">
        <v>2145</v>
      </c>
      <c r="D643" t="s">
        <v>11</v>
      </c>
      <c r="E643" t="s">
        <v>1875</v>
      </c>
      <c r="F643" t="s">
        <v>1875</v>
      </c>
      <c r="G643" t="s">
        <v>2146</v>
      </c>
      <c r="H643" t="s">
        <v>2147</v>
      </c>
      <c r="I643" t="s">
        <v>14</v>
      </c>
    </row>
    <row r="644" spans="1:9" x14ac:dyDescent="0.25">
      <c r="A644" t="str">
        <f>"8358531DF9"</f>
        <v>8358531DF9</v>
      </c>
      <c r="B644" t="s">
        <v>15</v>
      </c>
      <c r="C644" t="s">
        <v>2148</v>
      </c>
      <c r="D644" t="s">
        <v>11</v>
      </c>
      <c r="E644" t="s">
        <v>2149</v>
      </c>
      <c r="F644" t="s">
        <v>960</v>
      </c>
      <c r="G644" t="s">
        <v>2150</v>
      </c>
      <c r="H644" t="s">
        <v>2151</v>
      </c>
      <c r="I644" t="s">
        <v>2152</v>
      </c>
    </row>
    <row r="645" spans="1:9" x14ac:dyDescent="0.25">
      <c r="A645" t="str">
        <f>"8402460956"</f>
        <v>8402460956</v>
      </c>
      <c r="B645" t="s">
        <v>15</v>
      </c>
      <c r="C645" t="s">
        <v>2153</v>
      </c>
      <c r="D645" t="s">
        <v>11</v>
      </c>
      <c r="E645" t="s">
        <v>2154</v>
      </c>
      <c r="F645" t="s">
        <v>445</v>
      </c>
      <c r="G645" t="s">
        <v>2155</v>
      </c>
      <c r="H645" t="s">
        <v>2156</v>
      </c>
      <c r="I645" t="s">
        <v>2157</v>
      </c>
    </row>
    <row r="646" spans="1:9" x14ac:dyDescent="0.25">
      <c r="A646" t="str">
        <f>"Z63306A5D2"</f>
        <v>Z63306A5D2</v>
      </c>
      <c r="B646" t="s">
        <v>30</v>
      </c>
      <c r="C646" t="s">
        <v>2158</v>
      </c>
      <c r="D646" t="s">
        <v>11</v>
      </c>
      <c r="E646" t="s">
        <v>1875</v>
      </c>
      <c r="F646" t="s">
        <v>1875</v>
      </c>
      <c r="G646" t="s">
        <v>2159</v>
      </c>
      <c r="H646" t="s">
        <v>2160</v>
      </c>
      <c r="I646" t="s">
        <v>14</v>
      </c>
    </row>
    <row r="647" spans="1:9" x14ac:dyDescent="0.25">
      <c r="A647" t="str">
        <f>"Z32306A752"</f>
        <v>Z32306A752</v>
      </c>
      <c r="B647" t="s">
        <v>30</v>
      </c>
      <c r="C647" t="s">
        <v>2161</v>
      </c>
      <c r="D647" t="s">
        <v>11</v>
      </c>
      <c r="E647" t="s">
        <v>569</v>
      </c>
      <c r="F647" t="s">
        <v>569</v>
      </c>
      <c r="G647" t="s">
        <v>2162</v>
      </c>
      <c r="H647" t="s">
        <v>2160</v>
      </c>
      <c r="I647" t="s">
        <v>14</v>
      </c>
    </row>
    <row r="648" spans="1:9" x14ac:dyDescent="0.25">
      <c r="A648" t="str">
        <f>"Z4E313C03A"</f>
        <v>Z4E313C03A</v>
      </c>
      <c r="B648" t="s">
        <v>30</v>
      </c>
      <c r="C648" t="s">
        <v>2163</v>
      </c>
      <c r="D648" t="s">
        <v>11</v>
      </c>
      <c r="E648" t="s">
        <v>60</v>
      </c>
      <c r="F648" t="s">
        <v>60</v>
      </c>
      <c r="G648" t="s">
        <v>2164</v>
      </c>
      <c r="H648" t="s">
        <v>2165</v>
      </c>
      <c r="I648" t="s">
        <v>14</v>
      </c>
    </row>
    <row r="649" spans="1:9" x14ac:dyDescent="0.25">
      <c r="A649" t="str">
        <f>"8347729BE2"</f>
        <v>8347729BE2</v>
      </c>
      <c r="B649" t="s">
        <v>15</v>
      </c>
      <c r="C649" t="s">
        <v>2166</v>
      </c>
      <c r="D649" t="s">
        <v>11</v>
      </c>
      <c r="G649" t="s">
        <v>2167</v>
      </c>
      <c r="H649" t="s">
        <v>2168</v>
      </c>
      <c r="I649" t="s">
        <v>14</v>
      </c>
    </row>
    <row r="650" spans="1:9" x14ac:dyDescent="0.25">
      <c r="A650" t="str">
        <f>"8224053F37"</f>
        <v>8224053F37</v>
      </c>
      <c r="B650" t="s">
        <v>24</v>
      </c>
      <c r="C650" t="s">
        <v>2169</v>
      </c>
      <c r="D650" t="s">
        <v>26</v>
      </c>
      <c r="E650" t="s">
        <v>2170</v>
      </c>
      <c r="F650" t="s">
        <v>850</v>
      </c>
      <c r="G650" t="s">
        <v>2171</v>
      </c>
      <c r="H650" t="s">
        <v>2172</v>
      </c>
      <c r="I650" t="s">
        <v>2173</v>
      </c>
    </row>
    <row r="651" spans="1:9" x14ac:dyDescent="0.25">
      <c r="A651" t="str">
        <f>"8363995B03"</f>
        <v>8363995B03</v>
      </c>
      <c r="B651" t="s">
        <v>15</v>
      </c>
      <c r="C651" t="s">
        <v>2174</v>
      </c>
      <c r="D651" t="s">
        <v>11</v>
      </c>
      <c r="E651" t="s">
        <v>917</v>
      </c>
      <c r="F651" t="s">
        <v>917</v>
      </c>
      <c r="G651" t="s">
        <v>2175</v>
      </c>
      <c r="H651" t="s">
        <v>2176</v>
      </c>
      <c r="I651" t="s">
        <v>2177</v>
      </c>
    </row>
    <row r="652" spans="1:9" x14ac:dyDescent="0.25">
      <c r="A652" t="str">
        <f>"839785512E"</f>
        <v>839785512E</v>
      </c>
      <c r="B652" t="s">
        <v>15</v>
      </c>
      <c r="C652" t="s">
        <v>2178</v>
      </c>
      <c r="D652" t="s">
        <v>11</v>
      </c>
      <c r="E652" t="s">
        <v>2179</v>
      </c>
      <c r="F652" t="s">
        <v>2179</v>
      </c>
      <c r="G652" t="s">
        <v>1001</v>
      </c>
      <c r="H652" t="s">
        <v>2180</v>
      </c>
      <c r="I652" t="s">
        <v>2181</v>
      </c>
    </row>
    <row r="653" spans="1:9" x14ac:dyDescent="0.25">
      <c r="A653" t="str">
        <f>"8335323E20"</f>
        <v>8335323E20</v>
      </c>
      <c r="B653" t="s">
        <v>15</v>
      </c>
      <c r="C653" t="s">
        <v>2182</v>
      </c>
      <c r="D653" t="s">
        <v>11</v>
      </c>
      <c r="E653" t="s">
        <v>2183</v>
      </c>
      <c r="F653" t="s">
        <v>63</v>
      </c>
      <c r="G653" t="s">
        <v>61</v>
      </c>
      <c r="H653" t="s">
        <v>2184</v>
      </c>
      <c r="I653" t="s">
        <v>2185</v>
      </c>
    </row>
    <row r="654" spans="1:9" x14ac:dyDescent="0.25">
      <c r="A654" t="str">
        <f>"8386198D81"</f>
        <v>8386198D81</v>
      </c>
      <c r="B654" t="s">
        <v>15</v>
      </c>
      <c r="C654" t="s">
        <v>2186</v>
      </c>
      <c r="D654" t="s">
        <v>17</v>
      </c>
      <c r="E654" t="s">
        <v>159</v>
      </c>
      <c r="F654" t="s">
        <v>159</v>
      </c>
      <c r="G654" t="s">
        <v>2187</v>
      </c>
      <c r="H654" t="s">
        <v>2184</v>
      </c>
      <c r="I654" t="s">
        <v>2188</v>
      </c>
    </row>
    <row r="655" spans="1:9" x14ac:dyDescent="0.25">
      <c r="A655" t="str">
        <f>"827421630C"</f>
        <v>827421630C</v>
      </c>
      <c r="B655" t="s">
        <v>15</v>
      </c>
      <c r="C655" t="s">
        <v>2189</v>
      </c>
      <c r="D655" t="s">
        <v>11</v>
      </c>
      <c r="E655" t="s">
        <v>2190</v>
      </c>
      <c r="F655" t="s">
        <v>917</v>
      </c>
      <c r="G655" t="s">
        <v>2191</v>
      </c>
      <c r="H655" t="s">
        <v>2192</v>
      </c>
      <c r="I655" t="s">
        <v>2193</v>
      </c>
    </row>
    <row r="656" spans="1:9" x14ac:dyDescent="0.25">
      <c r="A656" t="str">
        <f>"8285532D4B"</f>
        <v>8285532D4B</v>
      </c>
      <c r="B656" t="s">
        <v>24</v>
      </c>
      <c r="C656" t="s">
        <v>2194</v>
      </c>
      <c r="D656" t="s">
        <v>11</v>
      </c>
      <c r="E656" t="s">
        <v>2195</v>
      </c>
      <c r="F656" t="s">
        <v>138</v>
      </c>
      <c r="G656" t="s">
        <v>2196</v>
      </c>
      <c r="H656" t="s">
        <v>2197</v>
      </c>
      <c r="I656" t="s">
        <v>2198</v>
      </c>
    </row>
    <row r="657" spans="1:9" x14ac:dyDescent="0.25">
      <c r="A657" t="str">
        <f>"8351877AEC"</f>
        <v>8351877AEC</v>
      </c>
      <c r="B657" t="s">
        <v>15</v>
      </c>
      <c r="C657" t="s">
        <v>2199</v>
      </c>
      <c r="D657" t="s">
        <v>11</v>
      </c>
      <c r="E657" t="s">
        <v>2200</v>
      </c>
      <c r="F657" t="s">
        <v>644</v>
      </c>
      <c r="G657" t="s">
        <v>2201</v>
      </c>
      <c r="H657" t="s">
        <v>2202</v>
      </c>
      <c r="I657" t="s">
        <v>2203</v>
      </c>
    </row>
    <row r="658" spans="1:9" x14ac:dyDescent="0.25">
      <c r="A658" t="str">
        <f>"8359479C4A"</f>
        <v>8359479C4A</v>
      </c>
      <c r="B658" t="s">
        <v>15</v>
      </c>
      <c r="C658" t="s">
        <v>2204</v>
      </c>
      <c r="D658" t="s">
        <v>11</v>
      </c>
      <c r="E658" t="s">
        <v>2205</v>
      </c>
      <c r="F658" t="s">
        <v>2206</v>
      </c>
      <c r="G658" t="s">
        <v>2207</v>
      </c>
      <c r="H658" t="s">
        <v>2208</v>
      </c>
      <c r="I658" t="s">
        <v>14</v>
      </c>
    </row>
    <row r="659" spans="1:9" x14ac:dyDescent="0.25">
      <c r="A659" t="str">
        <f>"8304726CAF"</f>
        <v>8304726CAF</v>
      </c>
      <c r="B659" t="s">
        <v>15</v>
      </c>
      <c r="C659" t="s">
        <v>2209</v>
      </c>
      <c r="D659" t="s">
        <v>11</v>
      </c>
      <c r="E659" t="s">
        <v>2210</v>
      </c>
      <c r="F659" t="s">
        <v>2210</v>
      </c>
      <c r="G659" t="s">
        <v>2211</v>
      </c>
      <c r="H659" t="s">
        <v>2212</v>
      </c>
      <c r="I659" t="s">
        <v>2213</v>
      </c>
    </row>
    <row r="660" spans="1:9" x14ac:dyDescent="0.25">
      <c r="A660" t="str">
        <f>"8285671004"</f>
        <v>8285671004</v>
      </c>
      <c r="B660" t="s">
        <v>24</v>
      </c>
      <c r="C660" t="s">
        <v>2214</v>
      </c>
      <c r="D660" t="s">
        <v>11</v>
      </c>
      <c r="E660" t="s">
        <v>2215</v>
      </c>
      <c r="F660" t="s">
        <v>122</v>
      </c>
      <c r="G660" t="s">
        <v>2216</v>
      </c>
      <c r="H660" t="s">
        <v>2217</v>
      </c>
      <c r="I660" t="s">
        <v>2218</v>
      </c>
    </row>
    <row r="661" spans="1:9" x14ac:dyDescent="0.25">
      <c r="A661" t="str">
        <f>"8326342AC6"</f>
        <v>8326342AC6</v>
      </c>
      <c r="B661" t="s">
        <v>15</v>
      </c>
      <c r="C661" t="s">
        <v>2219</v>
      </c>
      <c r="D661" t="s">
        <v>11</v>
      </c>
      <c r="E661" t="s">
        <v>2220</v>
      </c>
      <c r="F661" t="s">
        <v>66</v>
      </c>
      <c r="G661" t="s">
        <v>2221</v>
      </c>
      <c r="H661" t="s">
        <v>2222</v>
      </c>
      <c r="I661" t="s">
        <v>2223</v>
      </c>
    </row>
    <row r="662" spans="1:9" x14ac:dyDescent="0.25">
      <c r="A662" t="str">
        <f>"8285878AD3"</f>
        <v>8285878AD3</v>
      </c>
      <c r="B662" t="s">
        <v>15</v>
      </c>
      <c r="C662" t="s">
        <v>2224</v>
      </c>
      <c r="D662" t="s">
        <v>11</v>
      </c>
      <c r="E662" t="s">
        <v>2225</v>
      </c>
      <c r="F662" t="s">
        <v>2226</v>
      </c>
      <c r="G662" t="s">
        <v>2227</v>
      </c>
      <c r="H662" t="s">
        <v>2228</v>
      </c>
      <c r="I662" t="s">
        <v>2229</v>
      </c>
    </row>
    <row r="663" spans="1:9" x14ac:dyDescent="0.25">
      <c r="A663" t="str">
        <f>"82742227FE"</f>
        <v>82742227FE</v>
      </c>
      <c r="B663" t="s">
        <v>15</v>
      </c>
      <c r="C663" t="s">
        <v>2230</v>
      </c>
      <c r="D663" t="s">
        <v>11</v>
      </c>
      <c r="E663" t="s">
        <v>2231</v>
      </c>
      <c r="F663" t="s">
        <v>917</v>
      </c>
      <c r="G663" t="s">
        <v>2232</v>
      </c>
      <c r="H663" t="s">
        <v>2228</v>
      </c>
      <c r="I663" t="s">
        <v>2233</v>
      </c>
    </row>
    <row r="664" spans="1:9" x14ac:dyDescent="0.25">
      <c r="A664" t="str">
        <f>"8274226B4A"</f>
        <v>8274226B4A</v>
      </c>
      <c r="B664" t="s">
        <v>15</v>
      </c>
      <c r="C664" t="s">
        <v>2234</v>
      </c>
      <c r="D664" t="s">
        <v>11</v>
      </c>
      <c r="E664" t="s">
        <v>2235</v>
      </c>
      <c r="F664" t="s">
        <v>917</v>
      </c>
      <c r="G664" t="s">
        <v>2236</v>
      </c>
      <c r="H664" t="s">
        <v>2228</v>
      </c>
      <c r="I664" t="s">
        <v>2237</v>
      </c>
    </row>
    <row r="665" spans="1:9" x14ac:dyDescent="0.25">
      <c r="A665" t="str">
        <f>"822964343E"</f>
        <v>822964343E</v>
      </c>
      <c r="B665" t="s">
        <v>15</v>
      </c>
      <c r="C665" t="s">
        <v>2238</v>
      </c>
      <c r="D665" t="s">
        <v>11</v>
      </c>
      <c r="E665" t="s">
        <v>2239</v>
      </c>
      <c r="F665" t="s">
        <v>2240</v>
      </c>
      <c r="G665" t="s">
        <v>2241</v>
      </c>
      <c r="H665" t="s">
        <v>2242</v>
      </c>
      <c r="I665" t="s">
        <v>2243</v>
      </c>
    </row>
    <row r="666" spans="1:9" x14ac:dyDescent="0.25">
      <c r="A666" t="str">
        <f>"8323142A0D"</f>
        <v>8323142A0D</v>
      </c>
      <c r="B666" t="s">
        <v>274</v>
      </c>
      <c r="C666" t="s">
        <v>2244</v>
      </c>
      <c r="D666" t="s">
        <v>11</v>
      </c>
      <c r="E666" t="s">
        <v>2245</v>
      </c>
      <c r="F666" t="s">
        <v>2245</v>
      </c>
      <c r="G666" t="s">
        <v>1470</v>
      </c>
      <c r="H666" t="s">
        <v>2246</v>
      </c>
      <c r="I666" t="s">
        <v>2247</v>
      </c>
    </row>
    <row r="667" spans="1:9" x14ac:dyDescent="0.25">
      <c r="A667" t="str">
        <f>"80871184E4"</f>
        <v>80871184E4</v>
      </c>
      <c r="B667" t="s">
        <v>9</v>
      </c>
      <c r="C667" t="s">
        <v>2248</v>
      </c>
      <c r="D667" t="s">
        <v>26</v>
      </c>
      <c r="E667" t="s">
        <v>2249</v>
      </c>
      <c r="F667" t="s">
        <v>2249</v>
      </c>
      <c r="G667" t="s">
        <v>2250</v>
      </c>
      <c r="H667" t="s">
        <v>2246</v>
      </c>
      <c r="I667" t="s">
        <v>2251</v>
      </c>
    </row>
    <row r="668" spans="1:9" x14ac:dyDescent="0.25">
      <c r="A668" t="str">
        <f>"8064133D0F"</f>
        <v>8064133D0F</v>
      </c>
      <c r="B668" t="s">
        <v>24</v>
      </c>
      <c r="C668" t="s">
        <v>2252</v>
      </c>
      <c r="D668" t="s">
        <v>17</v>
      </c>
      <c r="E668" t="s">
        <v>2253</v>
      </c>
      <c r="F668" t="s">
        <v>674</v>
      </c>
      <c r="G668" t="s">
        <v>2254</v>
      </c>
      <c r="H668" t="s">
        <v>2255</v>
      </c>
      <c r="I668" t="s">
        <v>2256</v>
      </c>
    </row>
    <row r="669" spans="1:9" x14ac:dyDescent="0.25">
      <c r="A669" t="str">
        <f>"8219391805"</f>
        <v>8219391805</v>
      </c>
      <c r="B669" t="s">
        <v>15</v>
      </c>
      <c r="C669" t="s">
        <v>2257</v>
      </c>
      <c r="D669" t="s">
        <v>17</v>
      </c>
      <c r="E669" t="s">
        <v>2258</v>
      </c>
      <c r="F669" t="s">
        <v>214</v>
      </c>
      <c r="G669" t="s">
        <v>2259</v>
      </c>
      <c r="H669" t="s">
        <v>2260</v>
      </c>
      <c r="I669" t="s">
        <v>2261</v>
      </c>
    </row>
    <row r="670" spans="1:9" x14ac:dyDescent="0.25">
      <c r="A670" t="str">
        <f>"82242387E4"</f>
        <v>82242387E4</v>
      </c>
      <c r="B670" t="s">
        <v>15</v>
      </c>
      <c r="C670" t="s">
        <v>2262</v>
      </c>
      <c r="D670" t="s">
        <v>17</v>
      </c>
      <c r="E670" t="s">
        <v>261</v>
      </c>
      <c r="F670" t="s">
        <v>261</v>
      </c>
      <c r="G670" t="s">
        <v>2263</v>
      </c>
      <c r="H670" t="s">
        <v>2264</v>
      </c>
      <c r="I670" t="s">
        <v>2265</v>
      </c>
    </row>
    <row r="671" spans="1:9" x14ac:dyDescent="0.25">
      <c r="A671" t="str">
        <f>"82192492D8"</f>
        <v>82192492D8</v>
      </c>
      <c r="B671" t="s">
        <v>15</v>
      </c>
      <c r="C671" t="s">
        <v>2266</v>
      </c>
      <c r="D671" t="s">
        <v>17</v>
      </c>
      <c r="E671" t="s">
        <v>654</v>
      </c>
      <c r="F671" t="s">
        <v>654</v>
      </c>
      <c r="G671" t="s">
        <v>2267</v>
      </c>
      <c r="H671" t="s">
        <v>2268</v>
      </c>
      <c r="I671" t="s">
        <v>2269</v>
      </c>
    </row>
    <row r="672" spans="1:9" x14ac:dyDescent="0.25">
      <c r="A672" t="str">
        <f>"8101594EDA"</f>
        <v>8101594EDA</v>
      </c>
      <c r="B672" t="s">
        <v>274</v>
      </c>
      <c r="C672" t="s">
        <v>2270</v>
      </c>
      <c r="D672" t="s">
        <v>26</v>
      </c>
      <c r="E672" t="s">
        <v>2271</v>
      </c>
      <c r="F672" t="s">
        <v>2272</v>
      </c>
      <c r="G672" t="s">
        <v>2273</v>
      </c>
      <c r="H672" t="s">
        <v>2274</v>
      </c>
      <c r="I672" t="s">
        <v>2275</v>
      </c>
    </row>
    <row r="673" spans="1:9" x14ac:dyDescent="0.25">
      <c r="A673" t="str">
        <f>"8062465C95"</f>
        <v>8062465C95</v>
      </c>
      <c r="B673" t="s">
        <v>24</v>
      </c>
      <c r="C673" t="s">
        <v>804</v>
      </c>
      <c r="D673" t="s">
        <v>11</v>
      </c>
      <c r="E673" t="s">
        <v>2276</v>
      </c>
      <c r="F673" t="s">
        <v>63</v>
      </c>
      <c r="G673" t="s">
        <v>2076</v>
      </c>
      <c r="H673" t="s">
        <v>2277</v>
      </c>
      <c r="I673" t="s">
        <v>2278</v>
      </c>
    </row>
    <row r="674" spans="1:9" x14ac:dyDescent="0.25">
      <c r="A674" t="str">
        <f>"794399473A"</f>
        <v>794399473A</v>
      </c>
      <c r="B674" t="s">
        <v>9</v>
      </c>
      <c r="C674" t="s">
        <v>2279</v>
      </c>
      <c r="D674" t="s">
        <v>26</v>
      </c>
      <c r="E674" t="s">
        <v>2280</v>
      </c>
      <c r="F674" t="s">
        <v>2281</v>
      </c>
      <c r="G674" t="s">
        <v>471</v>
      </c>
      <c r="H674" t="s">
        <v>2282</v>
      </c>
      <c r="I674" t="s">
        <v>2283</v>
      </c>
    </row>
    <row r="675" spans="1:9" x14ac:dyDescent="0.25">
      <c r="A675" t="str">
        <f>"810011170D"</f>
        <v>810011170D</v>
      </c>
      <c r="B675" t="s">
        <v>274</v>
      </c>
      <c r="C675" t="s">
        <v>2284</v>
      </c>
      <c r="D675" t="s">
        <v>11</v>
      </c>
      <c r="E675" t="s">
        <v>427</v>
      </c>
      <c r="F675" t="s">
        <v>427</v>
      </c>
      <c r="G675" t="s">
        <v>2285</v>
      </c>
      <c r="H675" t="s">
        <v>2286</v>
      </c>
      <c r="I675" t="s">
        <v>2287</v>
      </c>
    </row>
    <row r="676" spans="1:9" x14ac:dyDescent="0.25">
      <c r="A676" t="str">
        <f>"Z842AA1105"</f>
        <v>Z842AA1105</v>
      </c>
      <c r="B676" t="s">
        <v>80</v>
      </c>
      <c r="C676" t="s">
        <v>2288</v>
      </c>
      <c r="D676" t="s">
        <v>11</v>
      </c>
      <c r="E676" t="s">
        <v>82</v>
      </c>
      <c r="F676" t="s">
        <v>82</v>
      </c>
      <c r="G676" t="s">
        <v>2289</v>
      </c>
      <c r="H676" t="s">
        <v>2290</v>
      </c>
      <c r="I676" t="s">
        <v>14</v>
      </c>
    </row>
    <row r="677" spans="1:9" x14ac:dyDescent="0.25">
      <c r="A677" t="str">
        <f>"8062736C38"</f>
        <v>8062736C38</v>
      </c>
      <c r="B677" t="s">
        <v>24</v>
      </c>
      <c r="C677" t="s">
        <v>2291</v>
      </c>
      <c r="D677" t="s">
        <v>22</v>
      </c>
      <c r="E677" t="s">
        <v>917</v>
      </c>
      <c r="F677" t="s">
        <v>917</v>
      </c>
      <c r="G677" t="s">
        <v>2292</v>
      </c>
      <c r="H677" t="s">
        <v>2293</v>
      </c>
      <c r="I677" t="s">
        <v>2294</v>
      </c>
    </row>
    <row r="678" spans="1:9" x14ac:dyDescent="0.25">
      <c r="A678" t="str">
        <f>"7859098CD3"</f>
        <v>7859098CD3</v>
      </c>
      <c r="B678" t="s">
        <v>24</v>
      </c>
      <c r="C678" t="s">
        <v>2295</v>
      </c>
      <c r="D678" t="s">
        <v>26</v>
      </c>
      <c r="E678" t="s">
        <v>2296</v>
      </c>
      <c r="F678" t="s">
        <v>926</v>
      </c>
      <c r="G678" t="s">
        <v>2297</v>
      </c>
      <c r="H678" t="s">
        <v>2298</v>
      </c>
      <c r="I678" t="s">
        <v>2299</v>
      </c>
    </row>
    <row r="679" spans="1:9" x14ac:dyDescent="0.25">
      <c r="A679" t="str">
        <f>"ZA42A008F9"</f>
        <v>ZA42A008F9</v>
      </c>
      <c r="B679" t="s">
        <v>80</v>
      </c>
      <c r="C679" t="s">
        <v>2300</v>
      </c>
      <c r="D679" t="s">
        <v>11</v>
      </c>
      <c r="E679" t="s">
        <v>82</v>
      </c>
      <c r="F679" t="s">
        <v>82</v>
      </c>
      <c r="G679" t="s">
        <v>2301</v>
      </c>
      <c r="H679" t="s">
        <v>2302</v>
      </c>
      <c r="I679" t="s">
        <v>14</v>
      </c>
    </row>
    <row r="680" spans="1:9" x14ac:dyDescent="0.25">
      <c r="A680" t="str">
        <f>"803558240A"</f>
        <v>803558240A</v>
      </c>
      <c r="B680" t="s">
        <v>9</v>
      </c>
      <c r="C680" t="s">
        <v>2303</v>
      </c>
      <c r="D680" t="s">
        <v>192</v>
      </c>
      <c r="E680" t="s">
        <v>2304</v>
      </c>
      <c r="F680" t="s">
        <v>2304</v>
      </c>
      <c r="G680" t="s">
        <v>2305</v>
      </c>
      <c r="H680" t="s">
        <v>2306</v>
      </c>
      <c r="I680" t="s">
        <v>2307</v>
      </c>
    </row>
    <row r="681" spans="1:9" x14ac:dyDescent="0.25">
      <c r="A681" t="str">
        <f>"78644437AA"</f>
        <v>78644437AA</v>
      </c>
      <c r="B681" t="s">
        <v>24</v>
      </c>
      <c r="C681" t="s">
        <v>2308</v>
      </c>
      <c r="D681" t="s">
        <v>17</v>
      </c>
      <c r="E681" t="s">
        <v>389</v>
      </c>
      <c r="F681" t="s">
        <v>389</v>
      </c>
      <c r="G681" t="s">
        <v>2309</v>
      </c>
      <c r="H681" t="s">
        <v>2310</v>
      </c>
      <c r="I681" t="s">
        <v>14</v>
      </c>
    </row>
    <row r="682" spans="1:9" x14ac:dyDescent="0.25">
      <c r="A682" t="str">
        <f>"79066050DB"</f>
        <v>79066050DB</v>
      </c>
      <c r="B682" t="s">
        <v>24</v>
      </c>
      <c r="C682" t="s">
        <v>2311</v>
      </c>
      <c r="D682" t="s">
        <v>26</v>
      </c>
      <c r="E682" t="s">
        <v>2312</v>
      </c>
      <c r="F682" t="s">
        <v>138</v>
      </c>
      <c r="G682" t="s">
        <v>2313</v>
      </c>
      <c r="H682" t="s">
        <v>2314</v>
      </c>
      <c r="I682" t="s">
        <v>2315</v>
      </c>
    </row>
    <row r="683" spans="1:9" x14ac:dyDescent="0.25">
      <c r="A683" t="str">
        <f>"79606074B6"</f>
        <v>79606074B6</v>
      </c>
      <c r="B683" t="s">
        <v>15</v>
      </c>
      <c r="C683" t="s">
        <v>2316</v>
      </c>
      <c r="D683" t="s">
        <v>11</v>
      </c>
      <c r="E683" t="s">
        <v>2317</v>
      </c>
      <c r="F683" t="s">
        <v>340</v>
      </c>
      <c r="G683" t="s">
        <v>2318</v>
      </c>
      <c r="H683" t="s">
        <v>2319</v>
      </c>
      <c r="I683" t="s">
        <v>14</v>
      </c>
    </row>
    <row r="684" spans="1:9" x14ac:dyDescent="0.25">
      <c r="A684" t="str">
        <f>"794220748D"</f>
        <v>794220748D</v>
      </c>
      <c r="B684" t="s">
        <v>274</v>
      </c>
      <c r="C684" t="s">
        <v>2320</v>
      </c>
      <c r="D684" t="s">
        <v>11</v>
      </c>
      <c r="E684" t="s">
        <v>2321</v>
      </c>
      <c r="F684" t="s">
        <v>1875</v>
      </c>
      <c r="G684" t="s">
        <v>2322</v>
      </c>
      <c r="H684" t="s">
        <v>2323</v>
      </c>
      <c r="I684" t="s">
        <v>14</v>
      </c>
    </row>
    <row r="685" spans="1:9" x14ac:dyDescent="0.25">
      <c r="A685" t="str">
        <f>"79422128AC"</f>
        <v>79422128AC</v>
      </c>
      <c r="B685" t="s">
        <v>274</v>
      </c>
      <c r="C685" t="s">
        <v>2324</v>
      </c>
      <c r="D685" t="s">
        <v>11</v>
      </c>
      <c r="E685" t="s">
        <v>2321</v>
      </c>
      <c r="F685" t="s">
        <v>1875</v>
      </c>
      <c r="G685" t="s">
        <v>2325</v>
      </c>
      <c r="H685" t="s">
        <v>2323</v>
      </c>
      <c r="I685" t="s">
        <v>14</v>
      </c>
    </row>
    <row r="686" spans="1:9" x14ac:dyDescent="0.25">
      <c r="A686" t="str">
        <f>"7942216BF8"</f>
        <v>7942216BF8</v>
      </c>
      <c r="B686" t="s">
        <v>274</v>
      </c>
      <c r="C686" t="s">
        <v>2326</v>
      </c>
      <c r="D686" t="s">
        <v>11</v>
      </c>
      <c r="E686" t="s">
        <v>2327</v>
      </c>
      <c r="F686" t="s">
        <v>1875</v>
      </c>
      <c r="G686" t="s">
        <v>2328</v>
      </c>
      <c r="H686" t="s">
        <v>2323</v>
      </c>
      <c r="I686" t="s">
        <v>14</v>
      </c>
    </row>
    <row r="687" spans="1:9" x14ac:dyDescent="0.25">
      <c r="A687" t="str">
        <f>"7942203141"</f>
        <v>7942203141</v>
      </c>
      <c r="B687" t="s">
        <v>274</v>
      </c>
      <c r="C687" t="s">
        <v>2329</v>
      </c>
      <c r="D687" t="s">
        <v>11</v>
      </c>
      <c r="E687" t="s">
        <v>2330</v>
      </c>
      <c r="F687" t="s">
        <v>1875</v>
      </c>
      <c r="G687" t="s">
        <v>2331</v>
      </c>
      <c r="H687" t="s">
        <v>2323</v>
      </c>
      <c r="I687" t="s">
        <v>14</v>
      </c>
    </row>
    <row r="688" spans="1:9" x14ac:dyDescent="0.25">
      <c r="A688" t="str">
        <f>"7880865787"</f>
        <v>7880865787</v>
      </c>
      <c r="B688" t="s">
        <v>15</v>
      </c>
      <c r="C688" t="s">
        <v>2332</v>
      </c>
      <c r="D688" t="s">
        <v>11</v>
      </c>
      <c r="E688" t="s">
        <v>2333</v>
      </c>
      <c r="F688" t="s">
        <v>122</v>
      </c>
      <c r="G688" t="s">
        <v>2334</v>
      </c>
      <c r="H688" t="s">
        <v>2335</v>
      </c>
      <c r="I688" t="s">
        <v>2336</v>
      </c>
    </row>
    <row r="689" spans="1:9" x14ac:dyDescent="0.25">
      <c r="A689" t="str">
        <f>"7932595879"</f>
        <v>7932595879</v>
      </c>
      <c r="B689" t="s">
        <v>15</v>
      </c>
      <c r="C689" t="s">
        <v>2337</v>
      </c>
      <c r="D689" t="s">
        <v>26</v>
      </c>
      <c r="E689" t="s">
        <v>63</v>
      </c>
      <c r="F689" t="s">
        <v>63</v>
      </c>
      <c r="G689" t="s">
        <v>2338</v>
      </c>
      <c r="H689" t="s">
        <v>2339</v>
      </c>
      <c r="I689" t="s">
        <v>14</v>
      </c>
    </row>
    <row r="690" spans="1:9" x14ac:dyDescent="0.25">
      <c r="A690" t="str">
        <f>"7930738C06"</f>
        <v>7930738C06</v>
      </c>
      <c r="B690" t="s">
        <v>15</v>
      </c>
      <c r="C690" t="s">
        <v>2340</v>
      </c>
      <c r="D690" t="s">
        <v>11</v>
      </c>
      <c r="E690" t="s">
        <v>2341</v>
      </c>
      <c r="F690" t="s">
        <v>110</v>
      </c>
      <c r="G690" t="s">
        <v>2342</v>
      </c>
      <c r="H690" t="s">
        <v>2343</v>
      </c>
      <c r="I690" t="s">
        <v>2344</v>
      </c>
    </row>
    <row r="691" spans="1:9" x14ac:dyDescent="0.25">
      <c r="A691" t="str">
        <f>"7089696A36"</f>
        <v>7089696A36</v>
      </c>
      <c r="B691" t="s">
        <v>9</v>
      </c>
      <c r="C691" t="s">
        <v>2345</v>
      </c>
      <c r="D691" t="s">
        <v>192</v>
      </c>
      <c r="E691" t="s">
        <v>2346</v>
      </c>
      <c r="F691" t="s">
        <v>2346</v>
      </c>
      <c r="G691" t="s">
        <v>2347</v>
      </c>
      <c r="H691" t="s">
        <v>2348</v>
      </c>
      <c r="I691" t="s">
        <v>2349</v>
      </c>
    </row>
    <row r="692" spans="1:9" x14ac:dyDescent="0.25">
      <c r="A692" t="str">
        <f>"7880830AA4"</f>
        <v>7880830AA4</v>
      </c>
      <c r="B692" t="s">
        <v>15</v>
      </c>
      <c r="C692" t="s">
        <v>2350</v>
      </c>
      <c r="D692" t="s">
        <v>11</v>
      </c>
      <c r="E692" t="s">
        <v>2351</v>
      </c>
      <c r="F692" t="s">
        <v>138</v>
      </c>
      <c r="G692" t="s">
        <v>2352</v>
      </c>
      <c r="H692" t="s">
        <v>2353</v>
      </c>
      <c r="I692" t="s">
        <v>2354</v>
      </c>
    </row>
    <row r="693" spans="1:9" x14ac:dyDescent="0.25">
      <c r="A693" t="str">
        <f>"7904188647"</f>
        <v>7904188647</v>
      </c>
      <c r="B693" t="s">
        <v>9</v>
      </c>
      <c r="C693" t="s">
        <v>2355</v>
      </c>
      <c r="D693" t="s">
        <v>192</v>
      </c>
      <c r="E693" t="s">
        <v>2356</v>
      </c>
      <c r="F693" t="s">
        <v>2356</v>
      </c>
      <c r="G693" t="s">
        <v>2357</v>
      </c>
      <c r="H693" t="s">
        <v>2358</v>
      </c>
      <c r="I693" t="s">
        <v>2359</v>
      </c>
    </row>
    <row r="694" spans="1:9" x14ac:dyDescent="0.25">
      <c r="A694" t="str">
        <f>"7878969AE5"</f>
        <v>7878969AE5</v>
      </c>
      <c r="B694" t="s">
        <v>15</v>
      </c>
      <c r="C694" t="s">
        <v>2360</v>
      </c>
      <c r="D694" t="s">
        <v>11</v>
      </c>
      <c r="E694" t="s">
        <v>2361</v>
      </c>
      <c r="F694" t="s">
        <v>346</v>
      </c>
      <c r="G694" t="s">
        <v>2362</v>
      </c>
      <c r="H694" t="s">
        <v>2363</v>
      </c>
      <c r="I694" t="s">
        <v>2364</v>
      </c>
    </row>
    <row r="695" spans="1:9" x14ac:dyDescent="0.25">
      <c r="A695" t="str">
        <f>"787083200B"</f>
        <v>787083200B</v>
      </c>
      <c r="B695" t="s">
        <v>15</v>
      </c>
      <c r="C695" t="s">
        <v>2365</v>
      </c>
      <c r="D695" t="s">
        <v>11</v>
      </c>
      <c r="E695" t="s">
        <v>2366</v>
      </c>
      <c r="F695" t="s">
        <v>63</v>
      </c>
      <c r="G695" t="s">
        <v>2139</v>
      </c>
      <c r="H695" t="s">
        <v>2367</v>
      </c>
      <c r="I695" t="s">
        <v>1237</v>
      </c>
    </row>
    <row r="696" spans="1:9" x14ac:dyDescent="0.25">
      <c r="A696" t="str">
        <f>"787790902B"</f>
        <v>787790902B</v>
      </c>
      <c r="B696" t="s">
        <v>9</v>
      </c>
      <c r="C696" t="s">
        <v>2368</v>
      </c>
      <c r="D696" t="s">
        <v>192</v>
      </c>
      <c r="E696" t="s">
        <v>2304</v>
      </c>
      <c r="F696" t="s">
        <v>2304</v>
      </c>
      <c r="G696" t="s">
        <v>2369</v>
      </c>
      <c r="H696" t="s">
        <v>2370</v>
      </c>
      <c r="I696" t="s">
        <v>2371</v>
      </c>
    </row>
    <row r="697" spans="1:9" x14ac:dyDescent="0.25">
      <c r="A697" t="str">
        <f>"7832863B05"</f>
        <v>7832863B05</v>
      </c>
      <c r="B697" t="s">
        <v>9</v>
      </c>
      <c r="C697" t="s">
        <v>2372</v>
      </c>
      <c r="D697" t="s">
        <v>192</v>
      </c>
      <c r="E697" t="s">
        <v>2304</v>
      </c>
      <c r="F697" t="s">
        <v>2304</v>
      </c>
      <c r="G697" t="s">
        <v>2373</v>
      </c>
      <c r="H697" t="s">
        <v>2374</v>
      </c>
      <c r="I697" t="s">
        <v>2375</v>
      </c>
    </row>
    <row r="698" spans="1:9" x14ac:dyDescent="0.25">
      <c r="A698" t="str">
        <f>"774594298B"</f>
        <v>774594298B</v>
      </c>
      <c r="B698" t="s">
        <v>15</v>
      </c>
      <c r="C698" t="s">
        <v>2376</v>
      </c>
      <c r="D698" t="s">
        <v>17</v>
      </c>
      <c r="E698" t="s">
        <v>530</v>
      </c>
      <c r="F698" t="s">
        <v>530</v>
      </c>
      <c r="G698" t="s">
        <v>2377</v>
      </c>
      <c r="H698" t="s">
        <v>2378</v>
      </c>
      <c r="I698" t="s">
        <v>2379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Stefano Zizzari</dc:creator>
  <cp:lastModifiedBy>ZizzariS</cp:lastModifiedBy>
  <dcterms:created xsi:type="dcterms:W3CDTF">2023-01-30T08:47:23Z</dcterms:created>
  <dcterms:modified xsi:type="dcterms:W3CDTF">2023-01-30T08:47:24Z</dcterms:modified>
</cp:coreProperties>
</file>